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rdova\Documents\Závazné ukazatele\Záv. ukazatele 2018\Závazné ukazatele\"/>
    </mc:Choice>
  </mc:AlternateContent>
  <bookViews>
    <workbookView xWindow="0" yWindow="0" windowWidth="28800" windowHeight="13125"/>
  </bookViews>
  <sheets>
    <sheet name="ZU po 4. změně a RO RM č. 1-2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6" i="1" l="1"/>
  <c r="E335" i="1" l="1"/>
  <c r="F335" i="1"/>
  <c r="H335" i="1"/>
  <c r="I335" i="1"/>
  <c r="J335" i="1"/>
  <c r="L335" i="1"/>
  <c r="M335" i="1"/>
  <c r="L460" i="1"/>
  <c r="L446" i="1"/>
  <c r="L417" i="1"/>
  <c r="L395" i="1"/>
  <c r="L388" i="1"/>
  <c r="L363" i="1"/>
  <c r="N353" i="1"/>
  <c r="N352" i="1"/>
  <c r="L354" i="1"/>
  <c r="L334" i="1"/>
  <c r="N333" i="1"/>
  <c r="N90" i="1"/>
  <c r="N101" i="1"/>
  <c r="N113" i="1"/>
  <c r="N98" i="1"/>
  <c r="N92" i="1"/>
  <c r="N79" i="1"/>
  <c r="L70" i="1" l="1"/>
  <c r="L69" i="1"/>
  <c r="L6" i="1"/>
  <c r="L4" i="1"/>
  <c r="M478" i="1" l="1"/>
  <c r="L478" i="1"/>
  <c r="J478" i="1"/>
  <c r="I478" i="1"/>
  <c r="H478" i="1"/>
  <c r="E478" i="1"/>
  <c r="D478" i="1"/>
  <c r="C478" i="1"/>
  <c r="G477" i="1"/>
  <c r="K477" i="1" s="1"/>
  <c r="N477" i="1" s="1"/>
  <c r="G476" i="1"/>
  <c r="K476" i="1" s="1"/>
  <c r="N476" i="1" s="1"/>
  <c r="G475" i="1"/>
  <c r="K475" i="1" s="1"/>
  <c r="N475" i="1" s="1"/>
  <c r="F474" i="1"/>
  <c r="F478" i="1" s="1"/>
  <c r="G473" i="1"/>
  <c r="K473" i="1" s="1"/>
  <c r="N473" i="1" s="1"/>
  <c r="G472" i="1"/>
  <c r="K472" i="1" s="1"/>
  <c r="N472" i="1" s="1"/>
  <c r="G471" i="1"/>
  <c r="K471" i="1" s="1"/>
  <c r="N471" i="1" s="1"/>
  <c r="G470" i="1"/>
  <c r="G465" i="1"/>
  <c r="K465" i="1" s="1"/>
  <c r="N465" i="1" s="1"/>
  <c r="G464" i="1"/>
  <c r="K464" i="1" s="1"/>
  <c r="N464" i="1" s="1"/>
  <c r="G463" i="1"/>
  <c r="K463" i="1" s="1"/>
  <c r="N463" i="1" s="1"/>
  <c r="M461" i="1"/>
  <c r="L461" i="1"/>
  <c r="J461" i="1"/>
  <c r="I461" i="1"/>
  <c r="H461" i="1"/>
  <c r="F461" i="1"/>
  <c r="E461" i="1"/>
  <c r="D461" i="1"/>
  <c r="C461" i="1"/>
  <c r="G460" i="1"/>
  <c r="K460" i="1" s="1"/>
  <c r="N460" i="1" s="1"/>
  <c r="G459" i="1"/>
  <c r="K459" i="1" s="1"/>
  <c r="N459" i="1" s="1"/>
  <c r="M457" i="1"/>
  <c r="L457" i="1"/>
  <c r="J457" i="1"/>
  <c r="I457" i="1"/>
  <c r="H457" i="1"/>
  <c r="F457" i="1"/>
  <c r="E457" i="1"/>
  <c r="D457" i="1"/>
  <c r="C457" i="1"/>
  <c r="G456" i="1"/>
  <c r="K456" i="1" s="1"/>
  <c r="N456" i="1" s="1"/>
  <c r="L455" i="1"/>
  <c r="K455" i="1"/>
  <c r="N455" i="1" s="1"/>
  <c r="G455" i="1"/>
  <c r="M453" i="1"/>
  <c r="L453" i="1"/>
  <c r="J453" i="1"/>
  <c r="I453" i="1"/>
  <c r="H453" i="1"/>
  <c r="F453" i="1"/>
  <c r="E453" i="1"/>
  <c r="D453" i="1"/>
  <c r="C453" i="1"/>
  <c r="G452" i="1"/>
  <c r="K452" i="1" s="1"/>
  <c r="N452" i="1" s="1"/>
  <c r="G451" i="1"/>
  <c r="K451" i="1" s="1"/>
  <c r="N451" i="1" s="1"/>
  <c r="G450" i="1"/>
  <c r="K450" i="1" s="1"/>
  <c r="N450" i="1" s="1"/>
  <c r="M448" i="1"/>
  <c r="L448" i="1"/>
  <c r="J448" i="1"/>
  <c r="I448" i="1"/>
  <c r="H448" i="1"/>
  <c r="F448" i="1"/>
  <c r="E448" i="1"/>
  <c r="D448" i="1"/>
  <c r="C448" i="1"/>
  <c r="K447" i="1"/>
  <c r="N447" i="1" s="1"/>
  <c r="G447" i="1"/>
  <c r="N446" i="1"/>
  <c r="E446" i="1"/>
  <c r="G446" i="1" s="1"/>
  <c r="G445" i="1"/>
  <c r="K445" i="1" s="1"/>
  <c r="N445" i="1" s="1"/>
  <c r="G444" i="1"/>
  <c r="K444" i="1" s="1"/>
  <c r="N444" i="1" s="1"/>
  <c r="N442" i="1" s="1"/>
  <c r="M442" i="1"/>
  <c r="L442" i="1"/>
  <c r="J442" i="1"/>
  <c r="I442" i="1"/>
  <c r="H442" i="1"/>
  <c r="F442" i="1"/>
  <c r="E442" i="1"/>
  <c r="D442" i="1"/>
  <c r="C442" i="1"/>
  <c r="G441" i="1"/>
  <c r="K441" i="1" s="1"/>
  <c r="N441" i="1" s="1"/>
  <c r="N440" i="1"/>
  <c r="K439" i="1"/>
  <c r="N439" i="1" s="1"/>
  <c r="G438" i="1"/>
  <c r="K438" i="1" s="1"/>
  <c r="N438" i="1" s="1"/>
  <c r="N437" i="1"/>
  <c r="N436" i="1"/>
  <c r="K435" i="1"/>
  <c r="N435" i="1" s="1"/>
  <c r="K434" i="1"/>
  <c r="N434" i="1" s="1"/>
  <c r="G433" i="1"/>
  <c r="K433" i="1" s="1"/>
  <c r="N433" i="1" s="1"/>
  <c r="M431" i="1"/>
  <c r="L431" i="1"/>
  <c r="J431" i="1"/>
  <c r="I431" i="1"/>
  <c r="H431" i="1"/>
  <c r="F431" i="1"/>
  <c r="E431" i="1"/>
  <c r="D431" i="1"/>
  <c r="C431" i="1"/>
  <c r="G430" i="1"/>
  <c r="K430" i="1" s="1"/>
  <c r="N430" i="1" s="1"/>
  <c r="G429" i="1"/>
  <c r="K429" i="1" s="1"/>
  <c r="N429" i="1" s="1"/>
  <c r="N427" i="1" s="1"/>
  <c r="M427" i="1"/>
  <c r="L427" i="1"/>
  <c r="J427" i="1"/>
  <c r="I427" i="1"/>
  <c r="H427" i="1"/>
  <c r="F427" i="1"/>
  <c r="E427" i="1"/>
  <c r="D427" i="1"/>
  <c r="C427" i="1"/>
  <c r="G426" i="1"/>
  <c r="K426" i="1" s="1"/>
  <c r="N426" i="1" s="1"/>
  <c r="N425" i="1"/>
  <c r="G424" i="1"/>
  <c r="K424" i="1" s="1"/>
  <c r="N424" i="1" s="1"/>
  <c r="G423" i="1"/>
  <c r="K423" i="1" s="1"/>
  <c r="N423" i="1" s="1"/>
  <c r="G422" i="1"/>
  <c r="K422" i="1" s="1"/>
  <c r="N422" i="1" s="1"/>
  <c r="G421" i="1"/>
  <c r="K421" i="1" s="1"/>
  <c r="N421" i="1" s="1"/>
  <c r="M419" i="1"/>
  <c r="L419" i="1"/>
  <c r="J419" i="1"/>
  <c r="I419" i="1"/>
  <c r="H419" i="1"/>
  <c r="F419" i="1"/>
  <c r="E419" i="1"/>
  <c r="D419" i="1"/>
  <c r="G419" i="1" s="1"/>
  <c r="K419" i="1" s="1"/>
  <c r="C419" i="1"/>
  <c r="G418" i="1"/>
  <c r="K418" i="1" s="1"/>
  <c r="N418" i="1" s="1"/>
  <c r="E417" i="1"/>
  <c r="G417" i="1" s="1"/>
  <c r="K416" i="1"/>
  <c r="N416" i="1" s="1"/>
  <c r="G416" i="1"/>
  <c r="M414" i="1"/>
  <c r="L414" i="1"/>
  <c r="J414" i="1"/>
  <c r="I414" i="1"/>
  <c r="H414" i="1"/>
  <c r="F414" i="1"/>
  <c r="D414" i="1"/>
  <c r="C414" i="1"/>
  <c r="G413" i="1"/>
  <c r="K413" i="1" s="1"/>
  <c r="N413" i="1" s="1"/>
  <c r="K412" i="1"/>
  <c r="N412" i="1" s="1"/>
  <c r="K411" i="1"/>
  <c r="N411" i="1" s="1"/>
  <c r="K410" i="1"/>
  <c r="N410" i="1" s="1"/>
  <c r="K409" i="1"/>
  <c r="N409" i="1" s="1"/>
  <c r="K408" i="1"/>
  <c r="N408" i="1" s="1"/>
  <c r="G407" i="1"/>
  <c r="K407" i="1" s="1"/>
  <c r="N407" i="1" s="1"/>
  <c r="G406" i="1"/>
  <c r="K406" i="1" s="1"/>
  <c r="N406" i="1" s="1"/>
  <c r="F405" i="1"/>
  <c r="G405" i="1" s="1"/>
  <c r="K405" i="1" s="1"/>
  <c r="N405" i="1" s="1"/>
  <c r="G404" i="1"/>
  <c r="K404" i="1" s="1"/>
  <c r="N404" i="1" s="1"/>
  <c r="M402" i="1"/>
  <c r="L402" i="1"/>
  <c r="J402" i="1"/>
  <c r="I402" i="1"/>
  <c r="H402" i="1"/>
  <c r="G402" i="1"/>
  <c r="K402" i="1" s="1"/>
  <c r="F402" i="1"/>
  <c r="E402" i="1"/>
  <c r="D402" i="1"/>
  <c r="C402" i="1"/>
  <c r="G401" i="1"/>
  <c r="K401" i="1" s="1"/>
  <c r="N401" i="1" s="1"/>
  <c r="G400" i="1"/>
  <c r="K400" i="1" s="1"/>
  <c r="N400" i="1" s="1"/>
  <c r="M398" i="1"/>
  <c r="L398" i="1"/>
  <c r="J398" i="1"/>
  <c r="I398" i="1"/>
  <c r="H398" i="1"/>
  <c r="F398" i="1"/>
  <c r="E398" i="1"/>
  <c r="D398" i="1"/>
  <c r="C398" i="1"/>
  <c r="M397" i="1"/>
  <c r="L397" i="1"/>
  <c r="L391" i="1" s="1"/>
  <c r="F397" i="1"/>
  <c r="G397" i="1" s="1"/>
  <c r="K397" i="1" s="1"/>
  <c r="K396" i="1"/>
  <c r="N396" i="1" s="1"/>
  <c r="F395" i="1"/>
  <c r="E395" i="1"/>
  <c r="G394" i="1"/>
  <c r="K394" i="1" s="1"/>
  <c r="N394" i="1" s="1"/>
  <c r="G393" i="1"/>
  <c r="K393" i="1" s="1"/>
  <c r="M391" i="1"/>
  <c r="J391" i="1"/>
  <c r="I391" i="1"/>
  <c r="H391" i="1"/>
  <c r="E391" i="1"/>
  <c r="D391" i="1"/>
  <c r="C391" i="1"/>
  <c r="G390" i="1"/>
  <c r="K390" i="1" s="1"/>
  <c r="N390" i="1" s="1"/>
  <c r="G389" i="1"/>
  <c r="K389" i="1" s="1"/>
  <c r="N389" i="1" s="1"/>
  <c r="G388" i="1"/>
  <c r="K388" i="1" s="1"/>
  <c r="N388" i="1" s="1"/>
  <c r="F387" i="1"/>
  <c r="G387" i="1" s="1"/>
  <c r="K387" i="1" s="1"/>
  <c r="N387" i="1" s="1"/>
  <c r="G386" i="1"/>
  <c r="K386" i="1" s="1"/>
  <c r="N386" i="1" s="1"/>
  <c r="L385" i="1"/>
  <c r="L382" i="1" s="1"/>
  <c r="F385" i="1"/>
  <c r="F382" i="1" s="1"/>
  <c r="E385" i="1"/>
  <c r="G384" i="1"/>
  <c r="K384" i="1" s="1"/>
  <c r="N384" i="1" s="1"/>
  <c r="M382" i="1"/>
  <c r="J382" i="1"/>
  <c r="I382" i="1"/>
  <c r="H382" i="1"/>
  <c r="E382" i="1"/>
  <c r="D382" i="1"/>
  <c r="C382" i="1"/>
  <c r="G381" i="1"/>
  <c r="K381" i="1" s="1"/>
  <c r="N381" i="1" s="1"/>
  <c r="K380" i="1"/>
  <c r="N380" i="1" s="1"/>
  <c r="G380" i="1"/>
  <c r="G379" i="1"/>
  <c r="K379" i="1" s="1"/>
  <c r="N379" i="1" s="1"/>
  <c r="G378" i="1"/>
  <c r="K378" i="1" s="1"/>
  <c r="M376" i="1"/>
  <c r="L376" i="1"/>
  <c r="J376" i="1"/>
  <c r="I376" i="1"/>
  <c r="H376" i="1"/>
  <c r="F376" i="1"/>
  <c r="E376" i="1"/>
  <c r="D376" i="1"/>
  <c r="C376" i="1"/>
  <c r="G375" i="1"/>
  <c r="K375" i="1" s="1"/>
  <c r="N375" i="1" s="1"/>
  <c r="N373" i="1" s="1"/>
  <c r="M373" i="1"/>
  <c r="L373" i="1"/>
  <c r="J373" i="1"/>
  <c r="I373" i="1"/>
  <c r="H373" i="1"/>
  <c r="F373" i="1"/>
  <c r="E373" i="1"/>
  <c r="D373" i="1"/>
  <c r="D466" i="1" s="1"/>
  <c r="C373" i="1"/>
  <c r="G369" i="1"/>
  <c r="K369" i="1" s="1"/>
  <c r="N369" i="1" s="1"/>
  <c r="G368" i="1"/>
  <c r="K368" i="1" s="1"/>
  <c r="N368" i="1" s="1"/>
  <c r="G367" i="1"/>
  <c r="K367" i="1" s="1"/>
  <c r="N367" i="1" s="1"/>
  <c r="G366" i="1"/>
  <c r="K366" i="1" s="1"/>
  <c r="N366" i="1" s="1"/>
  <c r="M364" i="1"/>
  <c r="L364" i="1"/>
  <c r="J364" i="1"/>
  <c r="I364" i="1"/>
  <c r="H364" i="1"/>
  <c r="F364" i="1"/>
  <c r="E364" i="1"/>
  <c r="D364" i="1"/>
  <c r="C364" i="1"/>
  <c r="G363" i="1"/>
  <c r="K363" i="1" s="1"/>
  <c r="N363" i="1" s="1"/>
  <c r="K362" i="1"/>
  <c r="N362" i="1" s="1"/>
  <c r="M360" i="1"/>
  <c r="L360" i="1"/>
  <c r="J360" i="1"/>
  <c r="I360" i="1"/>
  <c r="H360" i="1"/>
  <c r="F360" i="1"/>
  <c r="E360" i="1"/>
  <c r="D360" i="1"/>
  <c r="C360" i="1"/>
  <c r="G359" i="1"/>
  <c r="K359" i="1" s="1"/>
  <c r="N359" i="1" s="1"/>
  <c r="G358" i="1"/>
  <c r="K358" i="1" s="1"/>
  <c r="N358" i="1" s="1"/>
  <c r="G357" i="1"/>
  <c r="K357" i="1" s="1"/>
  <c r="N357" i="1" s="1"/>
  <c r="M355" i="1"/>
  <c r="L355" i="1"/>
  <c r="J355" i="1"/>
  <c r="I355" i="1"/>
  <c r="H355" i="1"/>
  <c r="F355" i="1"/>
  <c r="E355" i="1"/>
  <c r="D355" i="1"/>
  <c r="C355" i="1"/>
  <c r="D354" i="1"/>
  <c r="G351" i="1"/>
  <c r="K351" i="1" s="1"/>
  <c r="N351" i="1" s="1"/>
  <c r="G350" i="1"/>
  <c r="K350" i="1" s="1"/>
  <c r="N350" i="1" s="1"/>
  <c r="G349" i="1"/>
  <c r="K349" i="1" s="1"/>
  <c r="N349" i="1" s="1"/>
  <c r="G348" i="1"/>
  <c r="K348" i="1" s="1"/>
  <c r="N348" i="1" s="1"/>
  <c r="K347" i="1"/>
  <c r="N347" i="1" s="1"/>
  <c r="G347" i="1"/>
  <c r="G346" i="1"/>
  <c r="K346" i="1" s="1"/>
  <c r="N346" i="1" s="1"/>
  <c r="G345" i="1"/>
  <c r="K345" i="1" s="1"/>
  <c r="N345" i="1" s="1"/>
  <c r="G344" i="1"/>
  <c r="K344" i="1" s="1"/>
  <c r="N344" i="1" s="1"/>
  <c r="N343" i="1"/>
  <c r="G342" i="1"/>
  <c r="K342" i="1" s="1"/>
  <c r="N342" i="1" s="1"/>
  <c r="G341" i="1"/>
  <c r="K341" i="1" s="1"/>
  <c r="N341" i="1" s="1"/>
  <c r="G340" i="1"/>
  <c r="K340" i="1" s="1"/>
  <c r="N340" i="1" s="1"/>
  <c r="G339" i="1"/>
  <c r="K339" i="1" s="1"/>
  <c r="N339" i="1" s="1"/>
  <c r="G338" i="1"/>
  <c r="K338" i="1" s="1"/>
  <c r="N338" i="1" s="1"/>
  <c r="G337" i="1"/>
  <c r="K337" i="1" s="1"/>
  <c r="C335" i="1"/>
  <c r="N334" i="1"/>
  <c r="E334" i="1"/>
  <c r="G334" i="1" s="1"/>
  <c r="G330" i="1" s="1"/>
  <c r="G332" i="1"/>
  <c r="K332" i="1" s="1"/>
  <c r="M330" i="1"/>
  <c r="L330" i="1"/>
  <c r="J330" i="1"/>
  <c r="I330" i="1"/>
  <c r="H330" i="1"/>
  <c r="F330" i="1"/>
  <c r="D330" i="1"/>
  <c r="C330" i="1"/>
  <c r="F329" i="1"/>
  <c r="G329" i="1" s="1"/>
  <c r="N328" i="1"/>
  <c r="N327" i="1"/>
  <c r="N326" i="1"/>
  <c r="N325" i="1"/>
  <c r="N324" i="1"/>
  <c r="N323" i="1"/>
  <c r="K322" i="1"/>
  <c r="N322" i="1" s="1"/>
  <c r="G321" i="1"/>
  <c r="K321" i="1" s="1"/>
  <c r="N321" i="1" s="1"/>
  <c r="G320" i="1"/>
  <c r="K320" i="1" s="1"/>
  <c r="N320" i="1" s="1"/>
  <c r="K319" i="1"/>
  <c r="N319" i="1" s="1"/>
  <c r="G318" i="1"/>
  <c r="K318" i="1" s="1"/>
  <c r="N318" i="1" s="1"/>
  <c r="G317" i="1"/>
  <c r="K317" i="1" s="1"/>
  <c r="N317" i="1" s="1"/>
  <c r="K316" i="1"/>
  <c r="N316" i="1" s="1"/>
  <c r="G315" i="1"/>
  <c r="K315" i="1" s="1"/>
  <c r="N315" i="1" s="1"/>
  <c r="G314" i="1"/>
  <c r="K314" i="1" s="1"/>
  <c r="N314" i="1" s="1"/>
  <c r="K313" i="1"/>
  <c r="N313" i="1" s="1"/>
  <c r="G312" i="1"/>
  <c r="K312" i="1" s="1"/>
  <c r="N312" i="1" s="1"/>
  <c r="K311" i="1"/>
  <c r="N311" i="1" s="1"/>
  <c r="G310" i="1"/>
  <c r="K310" i="1" s="1"/>
  <c r="N310" i="1" s="1"/>
  <c r="K309" i="1"/>
  <c r="N309" i="1" s="1"/>
  <c r="G308" i="1"/>
  <c r="K308" i="1" s="1"/>
  <c r="N308" i="1" s="1"/>
  <c r="K307" i="1"/>
  <c r="N307" i="1" s="1"/>
  <c r="G306" i="1"/>
  <c r="K306" i="1" s="1"/>
  <c r="N306" i="1" s="1"/>
  <c r="G305" i="1"/>
  <c r="K305" i="1" s="1"/>
  <c r="N305" i="1" s="1"/>
  <c r="K304" i="1"/>
  <c r="N304" i="1" s="1"/>
  <c r="G303" i="1"/>
  <c r="K303" i="1" s="1"/>
  <c r="N303" i="1" s="1"/>
  <c r="K302" i="1"/>
  <c r="N302" i="1" s="1"/>
  <c r="K301" i="1"/>
  <c r="N301" i="1" s="1"/>
  <c r="G300" i="1"/>
  <c r="K300" i="1" s="1"/>
  <c r="N300" i="1" s="1"/>
  <c r="K299" i="1"/>
  <c r="N299" i="1" s="1"/>
  <c r="G298" i="1"/>
  <c r="K298" i="1" s="1"/>
  <c r="N298" i="1" s="1"/>
  <c r="G297" i="1"/>
  <c r="K297" i="1" s="1"/>
  <c r="N297" i="1" s="1"/>
  <c r="N296" i="1"/>
  <c r="K295" i="1"/>
  <c r="N295" i="1" s="1"/>
  <c r="G294" i="1"/>
  <c r="K294" i="1" s="1"/>
  <c r="N294" i="1" s="1"/>
  <c r="G293" i="1"/>
  <c r="K293" i="1" s="1"/>
  <c r="N293" i="1" s="1"/>
  <c r="K292" i="1"/>
  <c r="N292" i="1" s="1"/>
  <c r="G291" i="1"/>
  <c r="K291" i="1" s="1"/>
  <c r="N291" i="1" s="1"/>
  <c r="G290" i="1"/>
  <c r="K290" i="1" s="1"/>
  <c r="N290" i="1" s="1"/>
  <c r="G289" i="1"/>
  <c r="K289" i="1" s="1"/>
  <c r="N289" i="1" s="1"/>
  <c r="K288" i="1"/>
  <c r="N288" i="1" s="1"/>
  <c r="G287" i="1"/>
  <c r="K287" i="1" s="1"/>
  <c r="N287" i="1" s="1"/>
  <c r="G286" i="1"/>
  <c r="K286" i="1" s="1"/>
  <c r="N286" i="1" s="1"/>
  <c r="G285" i="1"/>
  <c r="K285" i="1" s="1"/>
  <c r="N285" i="1" s="1"/>
  <c r="G284" i="1"/>
  <c r="K284" i="1" s="1"/>
  <c r="N284" i="1" s="1"/>
  <c r="G283" i="1"/>
  <c r="K283" i="1" s="1"/>
  <c r="N283" i="1" s="1"/>
  <c r="G282" i="1"/>
  <c r="K282" i="1" s="1"/>
  <c r="N282" i="1" s="1"/>
  <c r="G281" i="1"/>
  <c r="K281" i="1" s="1"/>
  <c r="M279" i="1"/>
  <c r="L279" i="1"/>
  <c r="J279" i="1"/>
  <c r="I279" i="1"/>
  <c r="H279" i="1"/>
  <c r="F279" i="1"/>
  <c r="E279" i="1"/>
  <c r="D279" i="1"/>
  <c r="C279" i="1"/>
  <c r="E278" i="1"/>
  <c r="G278" i="1" s="1"/>
  <c r="K278" i="1" s="1"/>
  <c r="N278" i="1" s="1"/>
  <c r="L277" i="1"/>
  <c r="E277" i="1"/>
  <c r="G277" i="1" s="1"/>
  <c r="K277" i="1" s="1"/>
  <c r="N277" i="1" s="1"/>
  <c r="N275" i="1" s="1"/>
  <c r="M275" i="1"/>
  <c r="L275" i="1"/>
  <c r="J275" i="1"/>
  <c r="I275" i="1"/>
  <c r="H275" i="1"/>
  <c r="F275" i="1"/>
  <c r="D275" i="1"/>
  <c r="C275" i="1"/>
  <c r="F274" i="1"/>
  <c r="G274" i="1" s="1"/>
  <c r="K274" i="1" s="1"/>
  <c r="N274" i="1" s="1"/>
  <c r="G273" i="1"/>
  <c r="K273" i="1" s="1"/>
  <c r="N273" i="1" s="1"/>
  <c r="G272" i="1"/>
  <c r="K272" i="1" s="1"/>
  <c r="N272" i="1" s="1"/>
  <c r="G271" i="1"/>
  <c r="K271" i="1" s="1"/>
  <c r="N271" i="1" s="1"/>
  <c r="G270" i="1"/>
  <c r="K270" i="1" s="1"/>
  <c r="N270" i="1" s="1"/>
  <c r="G269" i="1"/>
  <c r="K269" i="1" s="1"/>
  <c r="M267" i="1"/>
  <c r="L267" i="1"/>
  <c r="J267" i="1"/>
  <c r="I267" i="1"/>
  <c r="H267" i="1"/>
  <c r="F267" i="1"/>
  <c r="E267" i="1"/>
  <c r="D267" i="1"/>
  <c r="C267" i="1"/>
  <c r="E266" i="1"/>
  <c r="G266" i="1" s="1"/>
  <c r="K266" i="1" s="1"/>
  <c r="N266" i="1" s="1"/>
  <c r="C266" i="1"/>
  <c r="G265" i="1"/>
  <c r="K265" i="1" s="1"/>
  <c r="N265" i="1" s="1"/>
  <c r="G264" i="1"/>
  <c r="K264" i="1" s="1"/>
  <c r="G263" i="1"/>
  <c r="K263" i="1" s="1"/>
  <c r="N263" i="1" s="1"/>
  <c r="G262" i="1"/>
  <c r="K262" i="1" s="1"/>
  <c r="N262" i="1" s="1"/>
  <c r="L261" i="1"/>
  <c r="G261" i="1"/>
  <c r="K261" i="1" s="1"/>
  <c r="N261" i="1" s="1"/>
  <c r="G260" i="1"/>
  <c r="K260" i="1" s="1"/>
  <c r="N260" i="1" s="1"/>
  <c r="M258" i="1"/>
  <c r="L258" i="1"/>
  <c r="J258" i="1"/>
  <c r="I258" i="1"/>
  <c r="H258" i="1"/>
  <c r="F258" i="1"/>
  <c r="E258" i="1"/>
  <c r="D258" i="1"/>
  <c r="C258" i="1"/>
  <c r="F257" i="1"/>
  <c r="D257" i="1"/>
  <c r="G256" i="1"/>
  <c r="K256" i="1" s="1"/>
  <c r="N256" i="1" s="1"/>
  <c r="N255" i="1"/>
  <c r="N254" i="1"/>
  <c r="N253" i="1"/>
  <c r="N252" i="1"/>
  <c r="N251" i="1"/>
  <c r="N250" i="1"/>
  <c r="N249" i="1"/>
  <c r="N248" i="1"/>
  <c r="N247" i="1"/>
  <c r="K246" i="1"/>
  <c r="N246" i="1" s="1"/>
  <c r="K245" i="1"/>
  <c r="N245" i="1" s="1"/>
  <c r="K244" i="1"/>
  <c r="N244" i="1" s="1"/>
  <c r="K243" i="1"/>
  <c r="N243" i="1" s="1"/>
  <c r="K242" i="1"/>
  <c r="N242" i="1" s="1"/>
  <c r="G241" i="1"/>
  <c r="K241" i="1" s="1"/>
  <c r="N241" i="1" s="1"/>
  <c r="G240" i="1"/>
  <c r="K240" i="1" s="1"/>
  <c r="N240" i="1" s="1"/>
  <c r="G239" i="1"/>
  <c r="K239" i="1" s="1"/>
  <c r="N239" i="1" s="1"/>
  <c r="G238" i="1"/>
  <c r="K238" i="1" s="1"/>
  <c r="N238" i="1" s="1"/>
  <c r="G237" i="1"/>
  <c r="K237" i="1" s="1"/>
  <c r="N237" i="1" s="1"/>
  <c r="G236" i="1"/>
  <c r="K236" i="1" s="1"/>
  <c r="N236" i="1" s="1"/>
  <c r="G235" i="1"/>
  <c r="K235" i="1" s="1"/>
  <c r="N235" i="1" s="1"/>
  <c r="G234" i="1"/>
  <c r="K234" i="1" s="1"/>
  <c r="N234" i="1" s="1"/>
  <c r="G233" i="1"/>
  <c r="K233" i="1" s="1"/>
  <c r="N233" i="1" s="1"/>
  <c r="G232" i="1"/>
  <c r="K232" i="1" s="1"/>
  <c r="N232" i="1" s="1"/>
  <c r="G231" i="1"/>
  <c r="K231" i="1" s="1"/>
  <c r="N231" i="1" s="1"/>
  <c r="G230" i="1"/>
  <c r="K230" i="1" s="1"/>
  <c r="N230" i="1" s="1"/>
  <c r="G229" i="1"/>
  <c r="K229" i="1" s="1"/>
  <c r="N229" i="1" s="1"/>
  <c r="G228" i="1"/>
  <c r="K228" i="1" s="1"/>
  <c r="N228" i="1" s="1"/>
  <c r="G227" i="1"/>
  <c r="K227" i="1" s="1"/>
  <c r="N227" i="1" s="1"/>
  <c r="G226" i="1"/>
  <c r="K226" i="1" s="1"/>
  <c r="N226" i="1" s="1"/>
  <c r="G225" i="1"/>
  <c r="K225" i="1" s="1"/>
  <c r="N225" i="1" s="1"/>
  <c r="G224" i="1"/>
  <c r="K224" i="1" s="1"/>
  <c r="N224" i="1" s="1"/>
  <c r="G223" i="1"/>
  <c r="K223" i="1" s="1"/>
  <c r="N223" i="1" s="1"/>
  <c r="G222" i="1"/>
  <c r="K222" i="1" s="1"/>
  <c r="N222" i="1" s="1"/>
  <c r="G221" i="1"/>
  <c r="K221" i="1" s="1"/>
  <c r="N221" i="1" s="1"/>
  <c r="G220" i="1"/>
  <c r="K220" i="1" s="1"/>
  <c r="N220" i="1" s="1"/>
  <c r="G219" i="1"/>
  <c r="K219" i="1" s="1"/>
  <c r="N219" i="1" s="1"/>
  <c r="G218" i="1"/>
  <c r="K218" i="1" s="1"/>
  <c r="N218" i="1" s="1"/>
  <c r="G217" i="1"/>
  <c r="K217" i="1" s="1"/>
  <c r="N217" i="1" s="1"/>
  <c r="G216" i="1"/>
  <c r="K216" i="1" s="1"/>
  <c r="N216" i="1" s="1"/>
  <c r="G215" i="1"/>
  <c r="K215" i="1" s="1"/>
  <c r="N215" i="1" s="1"/>
  <c r="G214" i="1"/>
  <c r="K214" i="1" s="1"/>
  <c r="N214" i="1" s="1"/>
  <c r="G213" i="1"/>
  <c r="K213" i="1" s="1"/>
  <c r="N213" i="1" s="1"/>
  <c r="G212" i="1"/>
  <c r="K212" i="1" s="1"/>
  <c r="N212" i="1" s="1"/>
  <c r="K211" i="1"/>
  <c r="N211" i="1" s="1"/>
  <c r="G210" i="1"/>
  <c r="K210" i="1" s="1"/>
  <c r="N210" i="1" s="1"/>
  <c r="G209" i="1"/>
  <c r="K209" i="1" s="1"/>
  <c r="N209" i="1" s="1"/>
  <c r="K208" i="1"/>
  <c r="N208" i="1" s="1"/>
  <c r="K207" i="1"/>
  <c r="N207" i="1" s="1"/>
  <c r="N206" i="1"/>
  <c r="N205" i="1"/>
  <c r="N204" i="1"/>
  <c r="N203" i="1"/>
  <c r="K202" i="1"/>
  <c r="N202" i="1" s="1"/>
  <c r="G201" i="1"/>
  <c r="K201" i="1" s="1"/>
  <c r="N201" i="1" s="1"/>
  <c r="G200" i="1"/>
  <c r="K200" i="1" s="1"/>
  <c r="N200" i="1" s="1"/>
  <c r="K199" i="1"/>
  <c r="N199" i="1" s="1"/>
  <c r="K198" i="1"/>
  <c r="N198" i="1" s="1"/>
  <c r="G197" i="1"/>
  <c r="K197" i="1" s="1"/>
  <c r="N197" i="1" s="1"/>
  <c r="G196" i="1"/>
  <c r="K196" i="1" s="1"/>
  <c r="N196" i="1" s="1"/>
  <c r="K195" i="1"/>
  <c r="N195" i="1" s="1"/>
  <c r="G194" i="1"/>
  <c r="K194" i="1" s="1"/>
  <c r="N194" i="1" s="1"/>
  <c r="G193" i="1"/>
  <c r="K193" i="1" s="1"/>
  <c r="N193" i="1" s="1"/>
  <c r="G192" i="1"/>
  <c r="K192" i="1" s="1"/>
  <c r="N192" i="1" s="1"/>
  <c r="G191" i="1"/>
  <c r="K191" i="1" s="1"/>
  <c r="N191" i="1" s="1"/>
  <c r="N190" i="1"/>
  <c r="G189" i="1"/>
  <c r="K189" i="1" s="1"/>
  <c r="N189" i="1" s="1"/>
  <c r="G188" i="1"/>
  <c r="K188" i="1" s="1"/>
  <c r="N188" i="1" s="1"/>
  <c r="G187" i="1"/>
  <c r="K187" i="1" s="1"/>
  <c r="N187" i="1" s="1"/>
  <c r="K186" i="1"/>
  <c r="N186" i="1" s="1"/>
  <c r="G185" i="1"/>
  <c r="K185" i="1" s="1"/>
  <c r="N185" i="1" s="1"/>
  <c r="N184" i="1"/>
  <c r="G183" i="1"/>
  <c r="K183" i="1" s="1"/>
  <c r="N183" i="1" s="1"/>
  <c r="G182" i="1"/>
  <c r="K182" i="1" s="1"/>
  <c r="N182" i="1" s="1"/>
  <c r="G181" i="1"/>
  <c r="K181" i="1" s="1"/>
  <c r="N181" i="1" s="1"/>
  <c r="G180" i="1"/>
  <c r="K180" i="1" s="1"/>
  <c r="N180" i="1" s="1"/>
  <c r="G179" i="1"/>
  <c r="K179" i="1" s="1"/>
  <c r="N179" i="1" s="1"/>
  <c r="N178" i="1"/>
  <c r="N177" i="1"/>
  <c r="G176" i="1"/>
  <c r="K176" i="1" s="1"/>
  <c r="N176" i="1" s="1"/>
  <c r="N175" i="1"/>
  <c r="N174" i="1"/>
  <c r="G173" i="1"/>
  <c r="K173" i="1" s="1"/>
  <c r="N173" i="1" s="1"/>
  <c r="G172" i="1"/>
  <c r="K172" i="1" s="1"/>
  <c r="N172" i="1" s="1"/>
  <c r="G171" i="1"/>
  <c r="K171" i="1" s="1"/>
  <c r="N171" i="1" s="1"/>
  <c r="G170" i="1"/>
  <c r="K170" i="1" s="1"/>
  <c r="N170" i="1" s="1"/>
  <c r="G169" i="1"/>
  <c r="K169" i="1" s="1"/>
  <c r="N169" i="1" s="1"/>
  <c r="N168" i="1"/>
  <c r="G167" i="1"/>
  <c r="K167" i="1" s="1"/>
  <c r="N167" i="1" s="1"/>
  <c r="G166" i="1"/>
  <c r="K166" i="1" s="1"/>
  <c r="N166" i="1" s="1"/>
  <c r="G165" i="1"/>
  <c r="K165" i="1" s="1"/>
  <c r="N165" i="1" s="1"/>
  <c r="G164" i="1"/>
  <c r="K164" i="1" s="1"/>
  <c r="N164" i="1" s="1"/>
  <c r="G163" i="1"/>
  <c r="K163" i="1" s="1"/>
  <c r="N163" i="1" s="1"/>
  <c r="G162" i="1"/>
  <c r="K162" i="1" s="1"/>
  <c r="N162" i="1" s="1"/>
  <c r="G161" i="1"/>
  <c r="K161" i="1" s="1"/>
  <c r="N161" i="1" s="1"/>
  <c r="G160" i="1"/>
  <c r="K160" i="1" s="1"/>
  <c r="N160" i="1" s="1"/>
  <c r="G159" i="1"/>
  <c r="K159" i="1" s="1"/>
  <c r="N159" i="1" s="1"/>
  <c r="G158" i="1"/>
  <c r="K158" i="1" s="1"/>
  <c r="N158" i="1" s="1"/>
  <c r="G157" i="1"/>
  <c r="K157" i="1" s="1"/>
  <c r="N157" i="1" s="1"/>
  <c r="G156" i="1"/>
  <c r="K156" i="1" s="1"/>
  <c r="N156" i="1" s="1"/>
  <c r="G155" i="1"/>
  <c r="K155" i="1" s="1"/>
  <c r="N155" i="1" s="1"/>
  <c r="K154" i="1"/>
  <c r="N154" i="1" s="1"/>
  <c r="G153" i="1"/>
  <c r="K153" i="1" s="1"/>
  <c r="N153" i="1" s="1"/>
  <c r="G152" i="1"/>
  <c r="K152" i="1" s="1"/>
  <c r="N152" i="1" s="1"/>
  <c r="G151" i="1"/>
  <c r="K151" i="1" s="1"/>
  <c r="N151" i="1" s="1"/>
  <c r="G150" i="1"/>
  <c r="K150" i="1" s="1"/>
  <c r="N150" i="1" s="1"/>
  <c r="G149" i="1"/>
  <c r="K149" i="1" s="1"/>
  <c r="N149" i="1" s="1"/>
  <c r="K148" i="1"/>
  <c r="N148" i="1" s="1"/>
  <c r="K147" i="1"/>
  <c r="N147" i="1" s="1"/>
  <c r="N146" i="1"/>
  <c r="N145" i="1"/>
  <c r="G144" i="1"/>
  <c r="K144" i="1" s="1"/>
  <c r="N144" i="1" s="1"/>
  <c r="G143" i="1"/>
  <c r="K143" i="1" s="1"/>
  <c r="N143" i="1" s="1"/>
  <c r="G142" i="1"/>
  <c r="K142" i="1" s="1"/>
  <c r="N142" i="1" s="1"/>
  <c r="G141" i="1"/>
  <c r="K141" i="1" s="1"/>
  <c r="N141" i="1" s="1"/>
  <c r="G140" i="1"/>
  <c r="K140" i="1" s="1"/>
  <c r="N140" i="1" s="1"/>
  <c r="K139" i="1"/>
  <c r="N139" i="1" s="1"/>
  <c r="N138" i="1"/>
  <c r="G137" i="1"/>
  <c r="K137" i="1" s="1"/>
  <c r="N137" i="1" s="1"/>
  <c r="G136" i="1"/>
  <c r="K136" i="1" s="1"/>
  <c r="N136" i="1" s="1"/>
  <c r="G135" i="1"/>
  <c r="K135" i="1" s="1"/>
  <c r="N135" i="1" s="1"/>
  <c r="G134" i="1"/>
  <c r="K134" i="1" s="1"/>
  <c r="N134" i="1" s="1"/>
  <c r="G133" i="1"/>
  <c r="K133" i="1" s="1"/>
  <c r="N133" i="1" s="1"/>
  <c r="G132" i="1"/>
  <c r="K132" i="1" s="1"/>
  <c r="N132" i="1" s="1"/>
  <c r="G131" i="1"/>
  <c r="K131" i="1" s="1"/>
  <c r="N131" i="1" s="1"/>
  <c r="G130" i="1"/>
  <c r="K130" i="1" s="1"/>
  <c r="N130" i="1" s="1"/>
  <c r="G129" i="1"/>
  <c r="K129" i="1" s="1"/>
  <c r="N129" i="1" s="1"/>
  <c r="G128" i="1"/>
  <c r="K128" i="1" s="1"/>
  <c r="N128" i="1" s="1"/>
  <c r="G127" i="1"/>
  <c r="K127" i="1" s="1"/>
  <c r="N127" i="1" s="1"/>
  <c r="G126" i="1"/>
  <c r="K126" i="1" s="1"/>
  <c r="N126" i="1" s="1"/>
  <c r="G125" i="1"/>
  <c r="K125" i="1" s="1"/>
  <c r="N125" i="1" s="1"/>
  <c r="G124" i="1"/>
  <c r="K124" i="1" s="1"/>
  <c r="N124" i="1" s="1"/>
  <c r="K123" i="1"/>
  <c r="N123" i="1" s="1"/>
  <c r="K122" i="1"/>
  <c r="N122" i="1" s="1"/>
  <c r="G121" i="1"/>
  <c r="K121" i="1" s="1"/>
  <c r="N121" i="1" s="1"/>
  <c r="G120" i="1"/>
  <c r="K120" i="1" s="1"/>
  <c r="N120" i="1" s="1"/>
  <c r="G119" i="1"/>
  <c r="K119" i="1" s="1"/>
  <c r="N119" i="1" s="1"/>
  <c r="G118" i="1"/>
  <c r="K118" i="1" s="1"/>
  <c r="N118" i="1" s="1"/>
  <c r="G117" i="1"/>
  <c r="K117" i="1" s="1"/>
  <c r="N117" i="1" s="1"/>
  <c r="G116" i="1"/>
  <c r="K116" i="1" s="1"/>
  <c r="N116" i="1" s="1"/>
  <c r="G115" i="1"/>
  <c r="K115" i="1" s="1"/>
  <c r="N115" i="1" s="1"/>
  <c r="G114" i="1"/>
  <c r="K114" i="1" s="1"/>
  <c r="N114" i="1" s="1"/>
  <c r="G112" i="1"/>
  <c r="K112" i="1" s="1"/>
  <c r="N112" i="1" s="1"/>
  <c r="G111" i="1"/>
  <c r="K111" i="1" s="1"/>
  <c r="N111" i="1" s="1"/>
  <c r="G110" i="1"/>
  <c r="K110" i="1" s="1"/>
  <c r="N110" i="1" s="1"/>
  <c r="G109" i="1"/>
  <c r="K109" i="1" s="1"/>
  <c r="N109" i="1" s="1"/>
  <c r="G108" i="1"/>
  <c r="K108" i="1" s="1"/>
  <c r="N108" i="1" s="1"/>
  <c r="G107" i="1"/>
  <c r="K107" i="1" s="1"/>
  <c r="N107" i="1" s="1"/>
  <c r="G106" i="1"/>
  <c r="K106" i="1" s="1"/>
  <c r="N106" i="1" s="1"/>
  <c r="K105" i="1"/>
  <c r="N105" i="1" s="1"/>
  <c r="G104" i="1"/>
  <c r="K104" i="1" s="1"/>
  <c r="N104" i="1" s="1"/>
  <c r="G103" i="1"/>
  <c r="K103" i="1" s="1"/>
  <c r="N103" i="1" s="1"/>
  <c r="G102" i="1"/>
  <c r="K102" i="1" s="1"/>
  <c r="N102" i="1" s="1"/>
  <c r="G100" i="1"/>
  <c r="K100" i="1" s="1"/>
  <c r="N100" i="1" s="1"/>
  <c r="G99" i="1"/>
  <c r="K99" i="1" s="1"/>
  <c r="N99" i="1" s="1"/>
  <c r="G97" i="1"/>
  <c r="K97" i="1" s="1"/>
  <c r="N97" i="1" s="1"/>
  <c r="G96" i="1"/>
  <c r="K96" i="1" s="1"/>
  <c r="N96" i="1" s="1"/>
  <c r="G95" i="1"/>
  <c r="K95" i="1" s="1"/>
  <c r="N95" i="1" s="1"/>
  <c r="G94" i="1"/>
  <c r="K94" i="1" s="1"/>
  <c r="N94" i="1" s="1"/>
  <c r="K93" i="1"/>
  <c r="N93" i="1" s="1"/>
  <c r="G91" i="1"/>
  <c r="K91" i="1" s="1"/>
  <c r="N91" i="1" s="1"/>
  <c r="N89" i="1"/>
  <c r="N88" i="1"/>
  <c r="G87" i="1"/>
  <c r="K87" i="1" s="1"/>
  <c r="N87" i="1" s="1"/>
  <c r="G85" i="1"/>
  <c r="K85" i="1" s="1"/>
  <c r="N85" i="1" s="1"/>
  <c r="G84" i="1"/>
  <c r="K84" i="1" s="1"/>
  <c r="N84" i="1" s="1"/>
  <c r="G83" i="1"/>
  <c r="K83" i="1" s="1"/>
  <c r="N83" i="1" s="1"/>
  <c r="G82" i="1"/>
  <c r="K82" i="1" s="1"/>
  <c r="N82" i="1" s="1"/>
  <c r="G81" i="1"/>
  <c r="K81" i="1" s="1"/>
  <c r="N81" i="1" s="1"/>
  <c r="G80" i="1"/>
  <c r="K80" i="1" s="1"/>
  <c r="N80" i="1" s="1"/>
  <c r="G78" i="1"/>
  <c r="K78" i="1" s="1"/>
  <c r="N78" i="1" s="1"/>
  <c r="M76" i="1"/>
  <c r="L76" i="1"/>
  <c r="J76" i="1"/>
  <c r="I76" i="1"/>
  <c r="H76" i="1"/>
  <c r="F76" i="1"/>
  <c r="E76" i="1"/>
  <c r="D76" i="1"/>
  <c r="C76" i="1"/>
  <c r="G75" i="1"/>
  <c r="K75" i="1" s="1"/>
  <c r="N75" i="1" s="1"/>
  <c r="G74" i="1"/>
  <c r="K74" i="1" s="1"/>
  <c r="N74" i="1" s="1"/>
  <c r="G73" i="1"/>
  <c r="K73" i="1" s="1"/>
  <c r="M71" i="1"/>
  <c r="L71" i="1"/>
  <c r="J71" i="1"/>
  <c r="I71" i="1"/>
  <c r="H71" i="1"/>
  <c r="F71" i="1"/>
  <c r="E71" i="1"/>
  <c r="D71" i="1"/>
  <c r="C71" i="1"/>
  <c r="F70" i="1"/>
  <c r="E70" i="1"/>
  <c r="E69" i="1"/>
  <c r="G69" i="1" s="1"/>
  <c r="K69" i="1" s="1"/>
  <c r="N69" i="1" s="1"/>
  <c r="G68" i="1"/>
  <c r="K68" i="1" s="1"/>
  <c r="N68" i="1" s="1"/>
  <c r="G67" i="1"/>
  <c r="K67" i="1" s="1"/>
  <c r="N67" i="1" s="1"/>
  <c r="M65" i="1"/>
  <c r="L65" i="1"/>
  <c r="J65" i="1"/>
  <c r="I65" i="1"/>
  <c r="H65" i="1"/>
  <c r="F65" i="1"/>
  <c r="D65" i="1"/>
  <c r="C65" i="1"/>
  <c r="E64" i="1"/>
  <c r="G64" i="1" s="1"/>
  <c r="K64" i="1" s="1"/>
  <c r="N64" i="1" s="1"/>
  <c r="G63" i="1"/>
  <c r="K63" i="1" s="1"/>
  <c r="N63" i="1" s="1"/>
  <c r="G62" i="1"/>
  <c r="K62" i="1" s="1"/>
  <c r="N62" i="1" s="1"/>
  <c r="M61" i="1"/>
  <c r="M58" i="1" s="1"/>
  <c r="H61" i="1"/>
  <c r="G61" i="1"/>
  <c r="G60" i="1"/>
  <c r="K60" i="1" s="1"/>
  <c r="N60" i="1" s="1"/>
  <c r="L58" i="1"/>
  <c r="J58" i="1"/>
  <c r="I58" i="1"/>
  <c r="H58" i="1"/>
  <c r="F58" i="1"/>
  <c r="E58" i="1"/>
  <c r="D58" i="1"/>
  <c r="C58" i="1"/>
  <c r="G57" i="1"/>
  <c r="K57" i="1" s="1"/>
  <c r="N57" i="1" s="1"/>
  <c r="K56" i="1"/>
  <c r="N56" i="1" s="1"/>
  <c r="G56" i="1"/>
  <c r="G55" i="1"/>
  <c r="K55" i="1" s="1"/>
  <c r="N55" i="1" s="1"/>
  <c r="E54" i="1"/>
  <c r="G54" i="1" s="1"/>
  <c r="M52" i="1"/>
  <c r="L52" i="1"/>
  <c r="J52" i="1"/>
  <c r="I52" i="1"/>
  <c r="H52" i="1"/>
  <c r="F52" i="1"/>
  <c r="D52" i="1"/>
  <c r="C52" i="1"/>
  <c r="K51" i="1"/>
  <c r="N51" i="1" s="1"/>
  <c r="K50" i="1"/>
  <c r="N50" i="1" s="1"/>
  <c r="K49" i="1"/>
  <c r="N49" i="1" s="1"/>
  <c r="K48" i="1"/>
  <c r="N48" i="1" s="1"/>
  <c r="K47" i="1"/>
  <c r="N47" i="1" s="1"/>
  <c r="K46" i="1"/>
  <c r="N46" i="1" s="1"/>
  <c r="K45" i="1"/>
  <c r="N45" i="1" s="1"/>
  <c r="K44" i="1"/>
  <c r="N44" i="1" s="1"/>
  <c r="K43" i="1"/>
  <c r="N43" i="1" s="1"/>
  <c r="K42" i="1"/>
  <c r="N42" i="1" s="1"/>
  <c r="K41" i="1"/>
  <c r="N41" i="1" s="1"/>
  <c r="K40" i="1"/>
  <c r="N40" i="1" s="1"/>
  <c r="K39" i="1"/>
  <c r="N39" i="1" s="1"/>
  <c r="K38" i="1"/>
  <c r="N38" i="1" s="1"/>
  <c r="K37" i="1"/>
  <c r="N37" i="1" s="1"/>
  <c r="K36" i="1"/>
  <c r="N36" i="1" s="1"/>
  <c r="G35" i="1"/>
  <c r="K35" i="1" s="1"/>
  <c r="N35" i="1" s="1"/>
  <c r="G34" i="1"/>
  <c r="K34" i="1" s="1"/>
  <c r="N34" i="1" s="1"/>
  <c r="G33" i="1"/>
  <c r="K33" i="1" s="1"/>
  <c r="N33" i="1" s="1"/>
  <c r="G32" i="1"/>
  <c r="K32" i="1" s="1"/>
  <c r="N32" i="1" s="1"/>
  <c r="G31" i="1"/>
  <c r="K31" i="1" s="1"/>
  <c r="N31" i="1" s="1"/>
  <c r="G30" i="1"/>
  <c r="K30" i="1" s="1"/>
  <c r="N30" i="1" s="1"/>
  <c r="G29" i="1"/>
  <c r="K29" i="1" s="1"/>
  <c r="N29" i="1" s="1"/>
  <c r="G28" i="1"/>
  <c r="K28" i="1" s="1"/>
  <c r="N28" i="1" s="1"/>
  <c r="G27" i="1"/>
  <c r="K27" i="1" s="1"/>
  <c r="N27" i="1" s="1"/>
  <c r="G26" i="1"/>
  <c r="K26" i="1" s="1"/>
  <c r="N26" i="1" s="1"/>
  <c r="G25" i="1"/>
  <c r="K25" i="1" s="1"/>
  <c r="N25" i="1" s="1"/>
  <c r="G24" i="1"/>
  <c r="K24" i="1" s="1"/>
  <c r="N24" i="1" s="1"/>
  <c r="H23" i="1"/>
  <c r="G23" i="1"/>
  <c r="M21" i="1"/>
  <c r="L21" i="1"/>
  <c r="J21" i="1"/>
  <c r="I21" i="1"/>
  <c r="H21" i="1"/>
  <c r="F21" i="1"/>
  <c r="E21" i="1"/>
  <c r="D21" i="1"/>
  <c r="C21" i="1"/>
  <c r="M17" i="1"/>
  <c r="L17" i="1"/>
  <c r="J17" i="1"/>
  <c r="I17" i="1"/>
  <c r="H17" i="1"/>
  <c r="F17" i="1"/>
  <c r="D17" i="1"/>
  <c r="C17" i="1"/>
  <c r="G16" i="1"/>
  <c r="K16" i="1" s="1"/>
  <c r="N16" i="1" s="1"/>
  <c r="G15" i="1"/>
  <c r="K15" i="1" s="1"/>
  <c r="N15" i="1" s="1"/>
  <c r="G14" i="1"/>
  <c r="K14" i="1" s="1"/>
  <c r="N14" i="1" s="1"/>
  <c r="G13" i="1"/>
  <c r="K13" i="1" s="1"/>
  <c r="N13" i="1" s="1"/>
  <c r="G12" i="1"/>
  <c r="K12" i="1" s="1"/>
  <c r="N12" i="1" s="1"/>
  <c r="G11" i="1"/>
  <c r="K11" i="1" s="1"/>
  <c r="N11" i="1" s="1"/>
  <c r="E10" i="1"/>
  <c r="E17" i="1" s="1"/>
  <c r="M7" i="1"/>
  <c r="M18" i="1" s="1"/>
  <c r="I7" i="1"/>
  <c r="I18" i="1" s="1"/>
  <c r="H7" i="1"/>
  <c r="H18" i="1" s="1"/>
  <c r="D7" i="1"/>
  <c r="D18" i="1" s="1"/>
  <c r="C7" i="1"/>
  <c r="L7" i="1"/>
  <c r="L18" i="1" s="1"/>
  <c r="J6" i="1"/>
  <c r="F6" i="1"/>
  <c r="E6" i="1"/>
  <c r="G5" i="1"/>
  <c r="K5" i="1" s="1"/>
  <c r="N5" i="1" s="1"/>
  <c r="F5" i="1"/>
  <c r="J4" i="1"/>
  <c r="J7" i="1" s="1"/>
  <c r="J18" i="1" s="1"/>
  <c r="F4" i="1"/>
  <c r="E4" i="1"/>
  <c r="G4" i="1" s="1"/>
  <c r="K4" i="1" s="1"/>
  <c r="N4" i="1" s="1"/>
  <c r="F3" i="1"/>
  <c r="N337" i="1" l="1"/>
  <c r="N402" i="1"/>
  <c r="E330" i="1"/>
  <c r="G354" i="1"/>
  <c r="K354" i="1" s="1"/>
  <c r="N354" i="1" s="1"/>
  <c r="D335" i="1"/>
  <c r="G360" i="1"/>
  <c r="K360" i="1" s="1"/>
  <c r="G376" i="1"/>
  <c r="G385" i="1"/>
  <c r="G398" i="1"/>
  <c r="K398" i="1" s="1"/>
  <c r="F7" i="1"/>
  <c r="F18" i="1" s="1"/>
  <c r="C18" i="1"/>
  <c r="I370" i="1"/>
  <c r="K23" i="1"/>
  <c r="E52" i="1"/>
  <c r="G335" i="1"/>
  <c r="G457" i="1"/>
  <c r="K457" i="1" s="1"/>
  <c r="N360" i="1"/>
  <c r="N364" i="1"/>
  <c r="N431" i="1"/>
  <c r="N461" i="1"/>
  <c r="G3" i="1"/>
  <c r="G6" i="1"/>
  <c r="K6" i="1" s="1"/>
  <c r="N6" i="1" s="1"/>
  <c r="E7" i="1"/>
  <c r="E18" i="1" s="1"/>
  <c r="C370" i="1"/>
  <c r="K61" i="1"/>
  <c r="N61" i="1" s="1"/>
  <c r="G70" i="1"/>
  <c r="K70" i="1" s="1"/>
  <c r="N70" i="1" s="1"/>
  <c r="N65" i="1" s="1"/>
  <c r="G71" i="1"/>
  <c r="G355" i="1"/>
  <c r="K355" i="1" s="1"/>
  <c r="H466" i="1"/>
  <c r="J466" i="1"/>
  <c r="G395" i="1"/>
  <c r="N397" i="1"/>
  <c r="N398" i="1"/>
  <c r="G427" i="1"/>
  <c r="K427" i="1" s="1"/>
  <c r="G448" i="1"/>
  <c r="K448" i="1" s="1"/>
  <c r="G453" i="1"/>
  <c r="K453" i="1" s="1"/>
  <c r="N457" i="1"/>
  <c r="G461" i="1"/>
  <c r="K461" i="1" s="1"/>
  <c r="G258" i="1"/>
  <c r="G267" i="1"/>
  <c r="N264" i="1"/>
  <c r="K258" i="1"/>
  <c r="M370" i="1"/>
  <c r="G21" i="1"/>
  <c r="G52" i="1"/>
  <c r="K54" i="1"/>
  <c r="K21" i="1"/>
  <c r="N23" i="1"/>
  <c r="N73" i="1"/>
  <c r="N71" i="1" s="1"/>
  <c r="K71" i="1"/>
  <c r="G10" i="1"/>
  <c r="D370" i="1"/>
  <c r="D467" i="1" s="1"/>
  <c r="D479" i="1" s="1"/>
  <c r="F370" i="1"/>
  <c r="H370" i="1"/>
  <c r="H467" i="1" s="1"/>
  <c r="H479" i="1" s="1"/>
  <c r="J370" i="1"/>
  <c r="J467" i="1" s="1"/>
  <c r="J479" i="1" s="1"/>
  <c r="L370" i="1"/>
  <c r="G58" i="1"/>
  <c r="E65" i="1"/>
  <c r="G65" i="1"/>
  <c r="K65" i="1" s="1"/>
  <c r="G257" i="1"/>
  <c r="K257" i="1" s="1"/>
  <c r="N257" i="1" s="1"/>
  <c r="N76" i="1" s="1"/>
  <c r="N269" i="1"/>
  <c r="N267" i="1" s="1"/>
  <c r="K267" i="1"/>
  <c r="N281" i="1"/>
  <c r="N332" i="1"/>
  <c r="N330" i="1" s="1"/>
  <c r="K330" i="1"/>
  <c r="N355" i="1"/>
  <c r="G391" i="1"/>
  <c r="K395" i="1"/>
  <c r="N395" i="1" s="1"/>
  <c r="N258" i="1"/>
  <c r="K329" i="1"/>
  <c r="N329" i="1" s="1"/>
  <c r="G279" i="1"/>
  <c r="N378" i="1"/>
  <c r="N376" i="1" s="1"/>
  <c r="K376" i="1"/>
  <c r="K385" i="1"/>
  <c r="N385" i="1" s="1"/>
  <c r="N382" i="1" s="1"/>
  <c r="G382" i="1"/>
  <c r="K382" i="1" s="1"/>
  <c r="N393" i="1"/>
  <c r="E275" i="1"/>
  <c r="G275" i="1"/>
  <c r="K275" i="1" s="1"/>
  <c r="G364" i="1"/>
  <c r="K364" i="1" s="1"/>
  <c r="C466" i="1"/>
  <c r="C467" i="1" s="1"/>
  <c r="C479" i="1" s="1"/>
  <c r="G373" i="1"/>
  <c r="I466" i="1"/>
  <c r="I467" i="1" s="1"/>
  <c r="I479" i="1" s="1"/>
  <c r="M466" i="1"/>
  <c r="F391" i="1"/>
  <c r="K417" i="1"/>
  <c r="N417" i="1" s="1"/>
  <c r="N414" i="1" s="1"/>
  <c r="G414" i="1"/>
  <c r="N419" i="1"/>
  <c r="N448" i="1"/>
  <c r="N453" i="1"/>
  <c r="F466" i="1"/>
  <c r="L466" i="1"/>
  <c r="E414" i="1"/>
  <c r="E466" i="1" s="1"/>
  <c r="K414" i="1"/>
  <c r="G431" i="1"/>
  <c r="K431" i="1"/>
  <c r="G442" i="1"/>
  <c r="K442" i="1"/>
  <c r="K470" i="1"/>
  <c r="G474" i="1"/>
  <c r="K474" i="1" s="1"/>
  <c r="N474" i="1" s="1"/>
  <c r="K391" i="1" l="1"/>
  <c r="G7" i="1"/>
  <c r="K335" i="1"/>
  <c r="E370" i="1"/>
  <c r="N335" i="1"/>
  <c r="N391" i="1"/>
  <c r="K58" i="1"/>
  <c r="N58" i="1" s="1"/>
  <c r="K3" i="1"/>
  <c r="M467" i="1"/>
  <c r="M479" i="1" s="1"/>
  <c r="K279" i="1"/>
  <c r="N466" i="1"/>
  <c r="G478" i="1"/>
  <c r="E467" i="1"/>
  <c r="E479" i="1" s="1"/>
  <c r="N470" i="1"/>
  <c r="N478" i="1" s="1"/>
  <c r="K478" i="1"/>
  <c r="N279" i="1"/>
  <c r="K76" i="1"/>
  <c r="L467" i="1"/>
  <c r="L479" i="1" s="1"/>
  <c r="N3" i="1"/>
  <c r="N7" i="1" s="1"/>
  <c r="K7" i="1"/>
  <c r="G466" i="1"/>
  <c r="K373" i="1"/>
  <c r="K466" i="1" s="1"/>
  <c r="G76" i="1"/>
  <c r="G370" i="1" s="1"/>
  <c r="G467" i="1" s="1"/>
  <c r="G479" i="1" s="1"/>
  <c r="F467" i="1"/>
  <c r="F479" i="1" s="1"/>
  <c r="G17" i="1"/>
  <c r="G18" i="1" s="1"/>
  <c r="K10" i="1"/>
  <c r="N21" i="1"/>
  <c r="K52" i="1"/>
  <c r="N52" i="1" s="1"/>
  <c r="N54" i="1"/>
  <c r="N370" i="1" l="1"/>
  <c r="N467" i="1" s="1"/>
  <c r="N479" i="1" s="1"/>
  <c r="K370" i="1"/>
  <c r="K467" i="1" s="1"/>
  <c r="K479" i="1" s="1"/>
  <c r="K17" i="1"/>
  <c r="N10" i="1"/>
  <c r="N17" i="1" s="1"/>
  <c r="N18" i="1" s="1"/>
  <c r="K18" i="1"/>
</calcChain>
</file>

<file path=xl/sharedStrings.xml><?xml version="1.0" encoding="utf-8"?>
<sst xmlns="http://schemas.openxmlformats.org/spreadsheetml/2006/main" count="783" uniqueCount="474">
  <si>
    <t>Závazný ukazatel</t>
  </si>
  <si>
    <r>
      <t xml:space="preserve">Časová použitelnost                                      dotací a příspěvků                                            </t>
    </r>
    <r>
      <rPr>
        <i/>
        <sz val="8"/>
        <color theme="1"/>
        <rFont val="Calibri"/>
        <family val="2"/>
        <charset val="238"/>
        <scheme val="minor"/>
      </rPr>
      <t>(od - do)</t>
    </r>
  </si>
  <si>
    <t>Očekávaná skutečnost                          r. 2017*</t>
  </si>
  <si>
    <r>
      <t xml:space="preserve">Schválený rozpočet                            na rok 2018             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</si>
  <si>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t>Rozpočtová opatření rady města                                      č. 1 - 52</t>
  </si>
  <si>
    <t>1. změna                     rozpočtu                                 r. 2018</t>
  </si>
  <si>
    <r>
      <t xml:space="preserve">Rozpočet r. 2018                                                       po 1. změně rozpočtu                       a RO RM č. 1 - 76                           </t>
    </r>
    <r>
      <rPr>
        <i/>
        <sz val="8"/>
        <color theme="1"/>
        <rFont val="Calibri"/>
        <family val="2"/>
        <charset val="238"/>
        <scheme val="minor"/>
      </rPr>
      <t xml:space="preserve"> (v tis. Kč)</t>
    </r>
  </si>
  <si>
    <r>
      <t xml:space="preserve">2. změna rozpočtu                                roku 2018                             </t>
    </r>
    <r>
      <rPr>
        <i/>
        <sz val="8"/>
        <color theme="1"/>
        <rFont val="Calibri"/>
        <family val="2"/>
        <charset val="238"/>
        <scheme val="minor"/>
      </rPr>
      <t xml:space="preserve">  (v tis. Kč)</t>
    </r>
  </si>
  <si>
    <r>
      <t xml:space="preserve">3. změna rozpočtu roku 2018     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</si>
  <si>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r>
      <t xml:space="preserve">RO RM                č. 77 - 165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</si>
  <si>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r>
      <t xml:space="preserve">Rozpočet r. 2018 po 2. a 3. změně                                      a RO RM č. 1 - 165                        </t>
    </r>
    <r>
      <rPr>
        <i/>
        <sz val="8"/>
        <color theme="1"/>
        <rFont val="Calibri"/>
        <family val="2"/>
        <charset val="238"/>
        <scheme val="minor"/>
      </rPr>
      <t xml:space="preserve"> (v tis. Kč)</t>
    </r>
  </si>
  <si>
    <r>
      <t xml:space="preserve">4. změna                  rozpočtu     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</si>
  <si>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t>Příjmy (třída 1 - 4)</t>
  </si>
  <si>
    <t>Daňové příjmy (třída 1)</t>
  </si>
  <si>
    <t>Nedaňové příjmy (třída 2)</t>
  </si>
  <si>
    <t>Kapitálové příjmy (třída 3)</t>
  </si>
  <si>
    <t>Přijaté transfery (třída 4)</t>
  </si>
  <si>
    <t>Příjmy celkem (třída 1 - 4)</t>
  </si>
  <si>
    <t>Financování - příjmy (třída 8)</t>
  </si>
  <si>
    <t>8115 - Účelový zůstatek minulého roku</t>
  </si>
  <si>
    <t>8115 - Neúčelový zůstatek minulého roku</t>
  </si>
  <si>
    <t>8115 - Čerpání FRB</t>
  </si>
  <si>
    <t>8115 - Čerpání sociálního fondu</t>
  </si>
  <si>
    <t>8115 - Čerpání fondu pomoci občanům dotčeným výstavbou komunikace R/48 - viz doplňující příloha č. 8</t>
  </si>
  <si>
    <t>8115 - Čerpání fondu pomoci občanům dotčeným živelními pohromami</t>
  </si>
  <si>
    <t>8123 - Čerpání revolvingového úvěru</t>
  </si>
  <si>
    <t>Financování - příjmy celkem (třída 8)</t>
  </si>
  <si>
    <t>Celkem zdroje (příjmy + financování)</t>
  </si>
  <si>
    <t>Neinvestiční výdaje (třída 5)</t>
  </si>
  <si>
    <t>ORJ 01-Odbor kancelář primátora</t>
  </si>
  <si>
    <t>Z toho:</t>
  </si>
  <si>
    <t>Ostatní neinvestiční výdaje odboru kancelář primátora</t>
  </si>
  <si>
    <t>Tenisový klub TENNISPOINT ve Frýdku-Místku - tenisový turnaj kategorie "A" mladší žáci: Pohár primátora města Frýdku-Místku 2018</t>
  </si>
  <si>
    <t>1.1.2018 - 30.4.2018</t>
  </si>
  <si>
    <t>Linie radosti z. s. - Mistrovství Moravy a Slezska - Přerov 2018, Mistrovství ČR v plavání - Liberec 2018, Mistrovství ČR v cyklistice - Račice 2018, výšlap na Ještěd 2018 a Halloween s radostí 2018</t>
  </si>
  <si>
    <t>1.1.2018 - 15.12.2018</t>
  </si>
  <si>
    <t>AIKIDO AIKIKAI Frýdek-Místek, z. s. - 8. ročník školy AIKIDO AIKIKAI a Mezinárodní stáž Stará Wies</t>
  </si>
  <si>
    <t>AIKIDO AIKIKAI Frýdek-Místek, z. s. - 8. ročník Slavností bojových umění</t>
  </si>
  <si>
    <t>SH ČMS - Sbor dobrovolných hasičů Skalice - oprava a renovace historické motorové stříkačky</t>
  </si>
  <si>
    <t>Beskydská volejbalová liga amatérů - finálová kola 9. ročníku "Regionální beskydské volejbalové ligy"</t>
  </si>
  <si>
    <t>1.1.2018 - 31.5.2018</t>
  </si>
  <si>
    <t>ZO ČSOP NOVÝ JIČÍN 70/02 - na záchranu volně žijících živočichů ze správního území statutárního města Frýdek-Místek</t>
  </si>
  <si>
    <t>1.1.2018 - 30.11.2018</t>
  </si>
  <si>
    <t>SH ČMS - Sbor dobrovolných hasičů Místek-Bahno - na sportovní a posilovací činnost</t>
  </si>
  <si>
    <t>Plavecký oddíl Frýdek-Místek, z. s. - na akci "O pohár primátora města Frýdku-Místku"</t>
  </si>
  <si>
    <t>BABYLONIE, z. s. - na Semináře sítě partnerských organizací</t>
  </si>
  <si>
    <t>Green Volley Beskydy, z. s. - na Mistrovství ČR ve volejbale kadetů</t>
  </si>
  <si>
    <t>1.1.2018 - 30.6.2018</t>
  </si>
  <si>
    <t>Sportovní klub policie Frýdek-Místek z. s. - Česko-slovensko-polská liga staršího žactva a Republikové finále sportovní ligy základních škol</t>
  </si>
  <si>
    <t>Sportovní klub policie Frýdek-Místek, z. s. - na výměnný pobyt mladých Čechů a Němců VII</t>
  </si>
  <si>
    <t>1.1.2018 - 31.10.2018</t>
  </si>
  <si>
    <t>Spolek Madleine - Adventní koncerty - Děti k dětem 2018</t>
  </si>
  <si>
    <t>1.1.2018 - 28.12.2018</t>
  </si>
  <si>
    <t>Junák - český skaut, středisko Kruh Frýdek-Místek, z. s. - skautská akce Rowerway 2018</t>
  </si>
  <si>
    <t>Junák - český skaut, středisko P. Bezruče Frýdek-Místek, z. s. - akce Central European Jamboree 2018, Hungary</t>
  </si>
  <si>
    <t>Janáčkův máj, o. p. s. - akce Mezinárodní hudební festival Leoše Janáčka</t>
  </si>
  <si>
    <t>1.1.2018 - 30.9.2018</t>
  </si>
  <si>
    <t>L&amp;L music, z. s. - akce Mezinárodní festival slovanské hudby</t>
  </si>
  <si>
    <t>1.1.2018 - 20.12.2018</t>
  </si>
  <si>
    <t>Tělocvičná jednota SOKOL Frýdek-Místek - Mistrovství Evropy HIP HOP UNITE 2018</t>
  </si>
  <si>
    <t>1.1.2018 - 31.7.2018</t>
  </si>
  <si>
    <t>Tělocvičná jednota SOKOL Frýdek-Místek - XVI. Všesokolský slet v Praze</t>
  </si>
  <si>
    <t>Český svaz chovatelů, z. s., Základní organizace Místek 1 - Okresní výstava okrasných a užitkových holubů</t>
  </si>
  <si>
    <t>SH ČMS - Sbor dobrovolných hasičů Skalice - Hasičská soutěž Skalický kopec</t>
  </si>
  <si>
    <t>Tenisový klub TENNISPOINT ve Frýdku-Místku - Tenisový turnaj kategorie "A" mladší žáci: TENNIS ARENA KIDS TOUR 2018</t>
  </si>
  <si>
    <t>1.1.2018 - 31.8.2018</t>
  </si>
  <si>
    <t>Way of warrior z. s. - Octagon fight club 2</t>
  </si>
  <si>
    <t>Tactical Team Moravia z. s. - Branný den</t>
  </si>
  <si>
    <t>Pobeskydský aviatický klub z. s. Frýdek-Místek - provoz letiště v Místku pro rok 2018</t>
  </si>
  <si>
    <t>1.1.2018 - 14.12.2018</t>
  </si>
  <si>
    <t>Městský fotbalový klub Frýdek-Místek - Fotbalový turnaj přípravek 2007, O pohár primátora Frýdku--Místku</t>
  </si>
  <si>
    <t>Asociace malých debrujárů České republiky, spolek - na akci Debrujáři KMD z Frýdku-Místku s projektem Water in action na ESE v Polsku</t>
  </si>
  <si>
    <r>
      <t>OR</t>
    </r>
    <r>
      <rPr>
        <b/>
        <sz val="10"/>
        <color theme="1"/>
        <rFont val="Calibri"/>
        <family val="2"/>
        <charset val="238"/>
        <scheme val="minor"/>
      </rPr>
      <t>J 02-Odbor vnitřních věcí</t>
    </r>
  </si>
  <si>
    <t>Neinvestiční výdaje odboru vnitřních věcí z transferů</t>
  </si>
  <si>
    <t>Výdaje na opravy a udržování</t>
  </si>
  <si>
    <t>Neinvestiční výdaje hrazené ze sociálního fondu</t>
  </si>
  <si>
    <t>Ostatní neinvestiční výdaje odboru vnitřních věcí</t>
  </si>
  <si>
    <t>ORJ 03-Finanční odbor</t>
  </si>
  <si>
    <t>Sportplex Frýdek-Místek, s. r. o. - neinvestiční dotace</t>
  </si>
  <si>
    <t>1.1.2018 - 31.12.2018</t>
  </si>
  <si>
    <t>Plánovaná rezerva města</t>
  </si>
  <si>
    <t>Rezerva na odvody a sankce</t>
  </si>
  <si>
    <t>Československá obec legionářská, z. s. - na celoroční podporu činnosti ČsOL jednoty Frýdek-Místek 2008</t>
  </si>
  <si>
    <t>Ostatní neinvestiční výdaje finančního odboru</t>
  </si>
  <si>
    <t>ORJ 04-Odbor správy obecního majetku</t>
  </si>
  <si>
    <t>Neinvestiční výdaje hrazené z FRB</t>
  </si>
  <si>
    <t>Neinvestiční výdaje hrazené z Fondu pomoci občanům dotčeným výstavbou komunikace R/48 - viz doplňující příloha č. 8</t>
  </si>
  <si>
    <t>Ostatní neinvestiční výdaje odboru správy obecního majetku</t>
  </si>
  <si>
    <t>ORJ 05-Živnostenský úřad</t>
  </si>
  <si>
    <t>Sdružení ochrany spotřebitelů Moravy a Slezska - neinvestiční transfer</t>
  </si>
  <si>
    <t>Ostatní neinvestiční výdaje živnostenského úřadu</t>
  </si>
  <si>
    <t>ORJ 06-Odbor ŠKMaT</t>
  </si>
  <si>
    <t>Neinvestiční výdaje odboru ŠKMaT z transferů</t>
  </si>
  <si>
    <t>DP Podpora a rozvoj kulturních aktivit ve městě - viz doplňující příloha č. 1</t>
  </si>
  <si>
    <t>viz dopl. příloha č. 1</t>
  </si>
  <si>
    <t>DP Podpora a rozvoj sportu ve městě - viz doplňující příloha č. 2</t>
  </si>
  <si>
    <t>viz dopl. příloha č. 2</t>
  </si>
  <si>
    <t>DP Podpora výchovy, vzdělávání a zájmových aktivit - viz doplňující příloha č. 4</t>
  </si>
  <si>
    <t>viz dopl. příloha č. 4</t>
  </si>
  <si>
    <t>Mládežnický sport - viz doplňující příloha č. 3</t>
  </si>
  <si>
    <t>viz dopl. příloha č. 3</t>
  </si>
  <si>
    <t>ZŠ a MŠ F-M, El. Krásnohorské 2254 - na  provoz MŠ Lískovecká</t>
  </si>
  <si>
    <t>MŠ Beruška - na provoz</t>
  </si>
  <si>
    <t>MŠ Beruška na revizi a ořez dřevin</t>
  </si>
  <si>
    <t>1.7.2018 - 31.12.2018</t>
  </si>
  <si>
    <t>MŠ Beruška - na pravidelné revize a kontroly</t>
  </si>
  <si>
    <t>MŠ Pohádka - na provoz</t>
  </si>
  <si>
    <t>MŠ Pohádka - neinvestiční příspěvek na opravu elektroinstalace v 1 učebním pavilonu MŠ v objektu na ul. Třanovského 404 (2. etapa)</t>
  </si>
  <si>
    <t>22.5.2018 - 31.12.2018</t>
  </si>
  <si>
    <t>ZŠ a MŠ Naděje, F-M, Škarabelova 562 - na provoz MŠ K Hájku</t>
  </si>
  <si>
    <t>ZŠ a MŠ Naděje, F-M, Škarabelova 562 pro MŠ - ÚZ 33063</t>
  </si>
  <si>
    <t>1.2.2017 - 31.1.2019</t>
  </si>
  <si>
    <t>MŠ J. Myslivečka - na provoz</t>
  </si>
  <si>
    <t>MŠ J. Myslivečka - ÚZ 33063</t>
  </si>
  <si>
    <t>18.9.2016 - 17.9.2018</t>
  </si>
  <si>
    <t>MŠ Mateřídouška - na provoz</t>
  </si>
  <si>
    <t>MŠ Mateřídouška - ÚZ 33063</t>
  </si>
  <si>
    <t>1.9.2016 - 31.8.2018</t>
  </si>
  <si>
    <t>ZŠ a MŠ F-M, Chlebovice - na provoz MŠ Chlebovice</t>
  </si>
  <si>
    <t>ZŠ a MŠ F-M, J. Čapka 2555 - na provoz MŠ Slezská 770</t>
  </si>
  <si>
    <t>ZŠ a MŠ F-M, J. Čapka 2555 pro MŠ - ÚZ 33063</t>
  </si>
  <si>
    <t>1..2017 - 31.12.2018</t>
  </si>
  <si>
    <t>ZŠ a MŠ F-M, J. Čapka 2555 - neinvestiční příspěvek na opravu terasy MŠ Bavlnářská 455</t>
  </si>
  <si>
    <t>22.5.2018- 31.12.2018</t>
  </si>
  <si>
    <t>ZŠ a MŠ F-M, Skalice - na provoz MŠ Skalice</t>
  </si>
  <si>
    <t>ZŠ a MŠ F-M, Skalice pro MŠ - ÚZ 33063</t>
  </si>
  <si>
    <t>MŠ Sněženka - na provoz</t>
  </si>
  <si>
    <t>MŠ Sněženka - ÚZ 33063</t>
  </si>
  <si>
    <t>ZŠ a MŠ F-M, Lískovec - na provoz MŠ Lískovec</t>
  </si>
  <si>
    <t>MŠ Anenská - na provoz</t>
  </si>
  <si>
    <t>MŠ Anenská - ÚZ 33063</t>
  </si>
  <si>
    <t>1.7.2017 - 31.12.2018</t>
  </si>
  <si>
    <t>ZŠ a MŠ F-M, J. Čapka 2555 - na provoz MŠ Slezská 2011</t>
  </si>
  <si>
    <t>ZŠ F-M, národního umělce P. Bezruče, tř. TGM 454 - na provoz</t>
  </si>
  <si>
    <t>ZŠ F-M, národního umělce P. Bezruče, tř. TGM 454 - správce hřiště</t>
  </si>
  <si>
    <t>ZŠ F-M, národního umělce P. Bezruče, tř. TGM 454 - Šachy - gymnastika mozku</t>
  </si>
  <si>
    <t>ZŠ F-M, národního umělce P. Bezruče, tř. TGM 454 - Galerie Pod sovou</t>
  </si>
  <si>
    <t>ZŠ F-M, národního umělce P. Bezruče, tř. TGM 454 - Učíme obrazem 2018</t>
  </si>
  <si>
    <t>ZŠ F-M, národního umělce P. Bezruče, tř. TGM 454 - na sportovní kroužky</t>
  </si>
  <si>
    <t>ZŠ F-M, národního umělce P. Bezruče, tř. TGM 454 - ÚZ 33063</t>
  </si>
  <si>
    <t>1.1.2017 - 31.12.2018</t>
  </si>
  <si>
    <t>ZŠ F-M, národního umělce P. Bezruče, tř.. TGM 454 - neinvestiční příspěvek na opravu původního osvětlení v suterénu tělocvičny a hlavního rozvaděče v přístavbě školy a na opravu podlahové krytiny v přístavbě školy a tělocvičny</t>
  </si>
  <si>
    <t>ZŠ F-M, národního umělce P. Bezruče, tř. TGM 454 - neinvestiční zálohový příspěvek ve výši 10% spoluúčasti zřizovatele na projekt "Škola pro všechny" z IROP</t>
  </si>
  <si>
    <t>22.5.2018 - 17.3.2019</t>
  </si>
  <si>
    <t>ZŠ a MŠ F-M, J. Čapka 2555 - na provoz</t>
  </si>
  <si>
    <t>ZŠ a MŠ F-M, J. Čapka 2555 - EEG-Biofeedback - mzdy a vybavení</t>
  </si>
  <si>
    <t>ZŠ a MŠ F-M, J. Čapka 2555 - správce hřiště</t>
  </si>
  <si>
    <t>ZŠ a MŠ F-M, J. Čapka 2555 - Učíme obrazem 2018</t>
  </si>
  <si>
    <t>ZŠ a MŠ F-M, J. Čapka 2555 - na sportovní kroužky</t>
  </si>
  <si>
    <t>ZŠ a MŠ F-M, J. Čapka 2555 pro ZŠ - ÚZ 33063</t>
  </si>
  <si>
    <t xml:space="preserve">ZŠ a MŠ Naděje, F-M, Škarabelova 562 - na provoz ZŠ </t>
  </si>
  <si>
    <t>ZŠ a MŠ Naděje, F-M, Škarabelova 562 - psycholog</t>
  </si>
  <si>
    <t>ZŠ a MŠ Naděje, F-M, Škarabelova 562 - Učíme obrazem 2018</t>
  </si>
  <si>
    <t>ZŠ a MŠ Naděje, F-M, Škarabelova 562 pro ZŠ - ÚZ 33063</t>
  </si>
  <si>
    <t>ZŠ F-M, Komenského 402 - na provoz</t>
  </si>
  <si>
    <t>ZŠ F-M, Komenského 402 - správce hřiště</t>
  </si>
  <si>
    <t>ZŠ F-M, Komenského 402 - Učíme obrazem 2018</t>
  </si>
  <si>
    <t>ZŠ F-M, Komenského 402 - na sportovní kroužky</t>
  </si>
  <si>
    <t>ZŠ F-M, Komenského 402 - na vymalování obou budov školy, opravu podlahy v kabinetu a nákup nábytku do kabinetu ZŠ</t>
  </si>
  <si>
    <t>ZŠ F-M, Komenského 402 - neinvestiční příspěvek na zvýšení výdaje na přípravnou třídu na období 01-08/2018</t>
  </si>
  <si>
    <t xml:space="preserve">ZŠ a MŠ F-M, El. Krásnohorské 2254 - na provoz </t>
  </si>
  <si>
    <t>ZŠ a MŠ F-M, El. Krásnohorské 2254 - správce hřiště</t>
  </si>
  <si>
    <t>ZŠ a MŠ F-M, El. Krásnohorské 2254 - výtvarná soutěž</t>
  </si>
  <si>
    <t>ZŠ a MŠ F-M, El. Krásnohorské 2254 - Učíme obrazem 2018</t>
  </si>
  <si>
    <t>ZŠ a MŠ F-M, El. Krásnohorské 2254 - na sportovní kroužky</t>
  </si>
  <si>
    <t>ZŠ a MŠ F-M, El. Krásnohorské 2254 - na dodání a montáž šatních skříněk v objektu ZŠ</t>
  </si>
  <si>
    <t>ZŠ a MŠ F-M, El. Krásnohorské 2254 - na zvýšené náklady na energie spojené s výpůjčkou části plochy školy ZŠ a MŠ Naděje</t>
  </si>
  <si>
    <t>ZŠ a MŠ F-M, El. Krásnohorské 2254 - neinvestiční příspěvek na plat a zákonné odvody speciálního pedagoga v období od 1.9.2018-31.12.2018</t>
  </si>
  <si>
    <t>1.9.2018 - 31.12.2018</t>
  </si>
  <si>
    <t>ZŠ a MŠ F-M, El. Krásnohorské 2254 - neinvestiční příspěvek výši 10% spoluúčasti zřizovatele na projekt "Krok do života" z IROP</t>
  </si>
  <si>
    <t>22.5.2018 - 30.6.2019</t>
  </si>
  <si>
    <t>ZŠ F-M, Pionýrů 400 - na provoz</t>
  </si>
  <si>
    <t>ZŠ F-M, Pionýrů 400 - tělocvična</t>
  </si>
  <si>
    <t>ZŠ F-M, Pionýrů 400 - Šachy - gymnastika mozku</t>
  </si>
  <si>
    <t>ZŠ F-M, Pionýrů 400 - Učíme obrazem 2018</t>
  </si>
  <si>
    <t>ZŠ F-M, Pionýrů 400 - na sportovní kroužky</t>
  </si>
  <si>
    <t>ZŠ F-M, Pionýrů 400 - neinvestiční příspěvek na opravy tělocvičny (obložení podlahy, střecha)</t>
  </si>
  <si>
    <t>ZŠ F-M, 1. máje 1700 - na provoz</t>
  </si>
  <si>
    <t>ZŠ F-M, 1. máje 1700 - tělocvična</t>
  </si>
  <si>
    <t>ZŠ F-M, 1. máje 1700 - Šachy - gymnastika mozku</t>
  </si>
  <si>
    <t>ZŠ F-M, 1. máje 1700 - Učíme obrazem 2018</t>
  </si>
  <si>
    <t>ZŠ F-M, 1. máje 1700 - na sportovní kroužky</t>
  </si>
  <si>
    <t>ZŠ F-M, 1. máje 1700 - ÚZ 33063</t>
  </si>
  <si>
    <t>1.9.2017 - 31.8.2019</t>
  </si>
  <si>
    <t>ZŠ F-M, Československé armády 570 - na provoz</t>
  </si>
  <si>
    <t>ZŠ F-M, Československé armády 570 - správce hřiště</t>
  </si>
  <si>
    <t>ZŠ F-M, Československé armády 570 - talentovaní žáci</t>
  </si>
  <si>
    <t>ZŠ F-M, Československé armády 570 - akce "Loutnička"</t>
  </si>
  <si>
    <t>ZŠ F-M, Československé armády 570 - na pobytové akce žáků školy "Škola hrou"</t>
  </si>
  <si>
    <t>ZŠ F-M, Československé armády 570 - Učíme obrazem 2018</t>
  </si>
  <si>
    <t>ZŠ F-M, Československé armády 570 - na sportovní kroužky</t>
  </si>
  <si>
    <t>ZŠ F-M, Československé armády 570 - na pravidelné revize a kontroly</t>
  </si>
  <si>
    <t>ZŠ a MŠ F-M, Lískovec - na provoz ZŠ Lískovec</t>
  </si>
  <si>
    <t>ZŠ a MŠ F-M, Lískovec - správce hřiště</t>
  </si>
  <si>
    <t>ZŠ a MŠ F-M, Lískovec - podpora ekologických projektů</t>
  </si>
  <si>
    <t>ZŠ a MŠ F-M, Lískovec - Učíme obrazem 2018</t>
  </si>
  <si>
    <t>ZŠ a MŠ F-M, Lískovec - na sportovní kroužky</t>
  </si>
  <si>
    <t>ZŠ a MŠ F-M, Lískovec - na nákup a montáž regálů do spisovny, nábytek do tříd, nábytek do místnosti zástupce ředitele, skříňky do šaten, opravu zídky a omítek schodiště u tělocvičny ZŠ, malování tříd a chodby ZŠ a MŠ Lískovec</t>
  </si>
  <si>
    <t>ZŠ a MŠ F-M, Lískovec - ÚZ 00333</t>
  </si>
  <si>
    <t>1.9.2018 - 30.6.2019</t>
  </si>
  <si>
    <t>ZŠ a MŠ F-M, Chlebovice - na provoz ZŠ Chlebovice</t>
  </si>
  <si>
    <t>ZŠ a MŠ F-M, Chlebovice - na opravu podlah a výměnu krytiny na schodišti školy, nákup nábytku do kanceláře, nákup dataprojektoru, kopírky a tiskárny</t>
  </si>
  <si>
    <t>ZŠ a MŠ F-M, Chlebovice - na zajištění ICT služby (údržba PC, web stránek aj.)</t>
  </si>
  <si>
    <t>ZŠ F-M, J. z Poděbrad 3109 - na provoz</t>
  </si>
  <si>
    <t xml:space="preserve">ZŠ F-M, J. z Poděbrad 3109 - správce hřiště </t>
  </si>
  <si>
    <t>ZŠ F-M, J. z Poděbrad 3109 - soutěž "Kdo dál, kdo výš"</t>
  </si>
  <si>
    <t>ZŠ F-M, J. z Poděbrad 3109 - Učíme obrazem 2018</t>
  </si>
  <si>
    <t>ZŠ F-M, J. z Poděbrad 3109 - na sportovní kroužky</t>
  </si>
  <si>
    <t>ZŠ F-M, J. z Poděbrad 3109 - ÚZ 33063</t>
  </si>
  <si>
    <t>ZŠ F-M, J. z Poděbrad 3109 - ÚZ 13014</t>
  </si>
  <si>
    <t>ZŠ F-M, J. z Poděbrad 3109 - neinvestiční příspěvek na podporu plavání žáků 2. stupně v hodinách TV</t>
  </si>
  <si>
    <t>ZŠ a MŠ F-M, Skalice - na provoz ZŠ Skalice</t>
  </si>
  <si>
    <t>ZŠ a MŠ F-M, Skalice - na provoz KD ve Skalici</t>
  </si>
  <si>
    <t>ZŠ a MŠ F-M, Skalice pro ZŠ - ÚZ 33063</t>
  </si>
  <si>
    <t>ZŠ a MŠ F-M, Skalice - na zajištění ICT služby (údržba PC, web stránek aj.)</t>
  </si>
  <si>
    <t>Středisko volného času Klíč - na provoz</t>
  </si>
  <si>
    <t>Středisko volného času Klíč - Advent 2018</t>
  </si>
  <si>
    <t>Středisko volného času Klíč - servis kol</t>
  </si>
  <si>
    <t>Středisko volného času Klíč - Prázdniny ve městě</t>
  </si>
  <si>
    <t>Středisko volného času Klíč - ÚZ 00133</t>
  </si>
  <si>
    <t>Městská knihovna Frýdek-Místek - na provoz</t>
  </si>
  <si>
    <t>Městská knihovna Frýdek-Místek - rezerva</t>
  </si>
  <si>
    <t>Městská knihovna Frýdek-Místek - ÚZ 00345</t>
  </si>
  <si>
    <t>Městská knihovna Frýdek-Místek - Úz 34053</t>
  </si>
  <si>
    <t>Národní dům Frýdek-Místek - na provoz</t>
  </si>
  <si>
    <t>Národní dům Frýdek-Místek - rezerva</t>
  </si>
  <si>
    <t>Národní dům Frýdek-Místek - neinvestiční příspěvek na obnovu zastaralého majetku nákupem sálových židlí a stropů</t>
  </si>
  <si>
    <t>Národní dům Frýdek-Místek - na oslavy 100 let republiky na náměstí Svobody</t>
  </si>
  <si>
    <t>Národní dům Frýdek-Místek - na nákup výstavních vitrín a pořízení malířských stojanů a dalšího příslušenství pro sdílený malířský ateliér</t>
  </si>
  <si>
    <t>Národní dům Frýdek-Místek - na zajištění dotisku a distribuce stolních kalendářů na rok 2019</t>
  </si>
  <si>
    <t>Národní dům Frýdek-Místek - na revitalizaci Nové scény Vlast (tj. na obnovu zastaralého nábytku)</t>
  </si>
  <si>
    <t>Základní umělecká škola Frýdek-Místek - na provoz</t>
  </si>
  <si>
    <t>Základní umělecká škola Frýdek-Místek - neinvestiční příspěvek na malování koncertního sálu - obřadní síně</t>
  </si>
  <si>
    <t>GOODWILL v. o. š. - Seniorská akademie 2018</t>
  </si>
  <si>
    <t>Společnost pro symfonickou a komorní hudbu ve Frýdku-Místku, z. s. - na činnost</t>
  </si>
  <si>
    <t>Společnost pro symfonickou a komorní hudbu ve Frýdku-Místku, z. s. - neinvestiční transfer na účinkování na desetidenním turné po Japonsku</t>
  </si>
  <si>
    <t>1.1.2018 - 10.12.2018</t>
  </si>
  <si>
    <t>Společnost pro dechovou hudbu ve Frýdku-Místku, z. s. - na činnost</t>
  </si>
  <si>
    <t>Dětský folklorní soubor Ostravička, z. s. - na činnost</t>
  </si>
  <si>
    <t>Dětský folklorní soubor Ostravička, z. s. - na MFF 2018</t>
  </si>
  <si>
    <t>Soubor lidových písní a tanců Ostravica, z. s. - na činnost</t>
  </si>
  <si>
    <t>Soubor lidových písní a tanců Ostravica, z. s. - na MFF na Azorských ostrovech</t>
  </si>
  <si>
    <t>Dětský folklorní soubor Ondrášek, z. s. - na činnost</t>
  </si>
  <si>
    <t>Český svaz včelařů, z. s., základní organizace Frýdek-Místek - na činnost včetně energie</t>
  </si>
  <si>
    <t>Pod Svícnem z. s. - na Sweetsen fest 2018</t>
  </si>
  <si>
    <t>Svatováclavský hudební festival, o. s. - na Svatováclavský hudební festival 2018</t>
  </si>
  <si>
    <t>Pavla Walková - na Muzikantské žně 2018</t>
  </si>
  <si>
    <t>Zdeněk Tofel - na Mezinárodní hudební festival Souznění 2018</t>
  </si>
  <si>
    <t>Love production s. r. o. - na koncerty v klubu Stoun</t>
  </si>
  <si>
    <t>Evolution Brothers s. r. o. - na FM City Festival</t>
  </si>
  <si>
    <t>Big BLAST! Band z. s. - na činnost spolku</t>
  </si>
  <si>
    <t>Šuba Duba Band - na činnost spolku</t>
  </si>
  <si>
    <t>TK Tennispoint FM - na nájem sportovišť</t>
  </si>
  <si>
    <t>Klub českých turistů, odbor Beskydy - finanční dar na realizaci stavby nových veřejných ekologických WC a nové přípojky pro studnu horské chaty Prašivá</t>
  </si>
  <si>
    <t>Židovská obec v Ostravě - na úpravy židovského hřbitova ve Frýdku-Místku</t>
  </si>
  <si>
    <t>HC Frýdek-Místek 2015, s. r. o. - družstvo dospělých</t>
  </si>
  <si>
    <t>MFK Frýdek-Místek, a. s. - provoz a činnost fotbalového družstva</t>
  </si>
  <si>
    <t>Handicap centrum - Sportovní olympiáda mentálně postižených</t>
  </si>
  <si>
    <t>SKP Frýdek-Místek - provoz a činnost družstva mužů</t>
  </si>
  <si>
    <t>TJ Sokol Frýdek-Místek - provoz a činnost družstva volejbalu</t>
  </si>
  <si>
    <t>BŠŠ z. s. - provoz a činnost družstva dospělých šachistů</t>
  </si>
  <si>
    <t>BŠŠ z. s. - Turnaj šachových nadějí</t>
  </si>
  <si>
    <t>TJ Slezan - Hornická 10</t>
  </si>
  <si>
    <t>BK Klasik - nájem nového baseballového hřiště</t>
  </si>
  <si>
    <t xml:space="preserve">Basketpoint Frýdek-Místek, z. s. </t>
  </si>
  <si>
    <t>SK Městské policie Frýdek-Místek - sportovní aktivity</t>
  </si>
  <si>
    <t xml:space="preserve">Plavecký oddíl Frýdek-Místek, z. s. </t>
  </si>
  <si>
    <t>TTV Sport Group s. r. o. - neinvestiční transfer na 10. ročník Czech Cycling Tour</t>
  </si>
  <si>
    <t>JO TENISOVÉ TRÉNINKOVÉ CENTRUM - neinvestiční transfer na Mezinárodní tenisový turnaj žen</t>
  </si>
  <si>
    <t>Lašský sportovní klub Frýdek-Místek - neinvestiční transfer na nájem sportovišť</t>
  </si>
  <si>
    <t>SK K2, z. s. - neinvestiční transfer na Renault INLINE 24 Extreme team Race</t>
  </si>
  <si>
    <t>1.1.2018 - 15.10.2018</t>
  </si>
  <si>
    <t xml:space="preserve">Rosenfeld, z. s. - neinvestiční transfer na akci 1. veřejný malířský ateliér </t>
  </si>
  <si>
    <t>Tenisklub7, z. s. - na akci "TOP TENIS bez hranic"</t>
  </si>
  <si>
    <t>TJ SOKOL Frýdek-Místek - pro taneční skupinu FUNKY BEAT na akci "Mistrovství světa Holandsko HIP HOP UNITE 2018"</t>
  </si>
  <si>
    <t>Občanské sdružení BABYLONIE - na mezinárodní setkání mládeže (Eurocamp)</t>
  </si>
  <si>
    <t>Beskydská šachová škola, z. s. - na MS, ME a MEU 2018 v šachu</t>
  </si>
  <si>
    <t>1.1.2018 - 12.12.2018</t>
  </si>
  <si>
    <t>SAM 8 - Investice a Peněžní Koučink s. r. o. - na Beskydského slavíka 2018</t>
  </si>
  <si>
    <t>20.8.2018 - 12.12.2018</t>
  </si>
  <si>
    <t>TJ Slezan F-M, z. s. - na výměnu plotu kolem areálu atletického stadionu</t>
  </si>
  <si>
    <t>Big BLAST! Band, z. s. - na "Adventní benefiční Jazzovou mši"</t>
  </si>
  <si>
    <t>20.8.2018 - 27.12.2018</t>
  </si>
  <si>
    <t>Šuba Duba Band - na výchovné koncerty pro místní školy</t>
  </si>
  <si>
    <t>GB Draculino - na Mezinárodní turnaj v brazilském jiu-jitsu "IV. NoEXCUSE!"</t>
  </si>
  <si>
    <t>Dotace do oblasti kultury a památek - rezerva</t>
  </si>
  <si>
    <t>Ostatní neinvestiční výdaje odboru ŠKMaT</t>
  </si>
  <si>
    <t>ORJ 07-Odbor dopravy a silničního hospodářství</t>
  </si>
  <si>
    <t>Neinvestiční výdaje odboru dopravy a silničního hospodářství z transferů</t>
  </si>
  <si>
    <t>ČSAD Frýdek-Místek, a. s. - provoz MHD</t>
  </si>
  <si>
    <t>ČSAD Frýdek-Místek, a. s. - provoz PAD</t>
  </si>
  <si>
    <t>ARRIVA Morava a. s. - PAD</t>
  </si>
  <si>
    <t>MSK - dopravní obslužnost Česko-Těšínsko</t>
  </si>
  <si>
    <t>Ostatní neinvestiční výdaje odboru dopravy a silničního hospodářství</t>
  </si>
  <si>
    <t>ORJ 09-Odbor životního prostředí a zemědělství</t>
  </si>
  <si>
    <t>Neinvestiční výdaje odboru životního prostředí a zemědělství z transferů</t>
  </si>
  <si>
    <t>DP Aktivity vedoucí ke zlepšení životního prostředí ve městě - viz doplňující příloha č. 5</t>
  </si>
  <si>
    <t>viz dopl. příloha č. 5</t>
  </si>
  <si>
    <t xml:space="preserve">Sdružení vlastníků obecních a soukromých lesů v ČR </t>
  </si>
  <si>
    <t>Spolek pro Faunapark -neinvestiční příspěvek</t>
  </si>
  <si>
    <t>Ostatní neinvestiční výdaje odboru životního prostředí a zemědělství</t>
  </si>
  <si>
    <t>ORJ 10-Odbor sociální péče</t>
  </si>
  <si>
    <t>Neinvestiční výdaje odboru sociální péče z transferů</t>
  </si>
  <si>
    <t>Ostatní neinvestiční výdaje odboru sociální péče</t>
  </si>
  <si>
    <t>ORJ 11-Odbor sociálních služeb</t>
  </si>
  <si>
    <t>Neinvestiční výdaje odboru sociálních služeb z transferů</t>
  </si>
  <si>
    <t>DP Podpora a rozvoj sociálních služeb ve městě - viz doplňující příloha č. 10</t>
  </si>
  <si>
    <t>viz dopl. příloha č. 10</t>
  </si>
  <si>
    <t>DP Podpora projektů v oblasti zdravotnictví - viz doplňující příloha č. 11</t>
  </si>
  <si>
    <t>viz dopl. příloha č. 11</t>
  </si>
  <si>
    <t>DP Podpora a rozvoj ostatních aktivit navazujících na sociální služby - viz doplňující příloha č. 12</t>
  </si>
  <si>
    <t>viz dopl. příloha č. 12</t>
  </si>
  <si>
    <t xml:space="preserve">Nemocnice ve Frýdku-Místku, p. o. - Smlouva o spolupráci - neinvestiční příspěvek </t>
  </si>
  <si>
    <r>
      <t xml:space="preserve">HOSPIC Frýdek-Místek, p. o.  </t>
    </r>
    <r>
      <rPr>
        <i/>
        <sz val="10"/>
        <color theme="1"/>
        <rFont val="Calibri"/>
        <family val="2"/>
        <charset val="238"/>
        <scheme val="minor"/>
      </rPr>
      <t>(přistoupení ke Smlouvě o závazku veřejné služby a vyrovnávací platbě za jeho výkon uzavřené mezi MSK a organizací HOSPIC Frýdek-Místek, p. o. - č. smlouvy 03146/2015/SOC)</t>
    </r>
  </si>
  <si>
    <r>
      <t xml:space="preserve">HOSPIC Frýdek-Místek, p. o. 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organizací HOSPIC Frýdek-Místek, p. o. - č. smlouvy 03146/2015/SOC) - </t>
    </r>
    <r>
      <rPr>
        <sz val="10"/>
        <color theme="1"/>
        <rFont val="Calibri"/>
        <family val="2"/>
        <charset val="238"/>
        <scheme val="minor"/>
      </rPr>
      <t>rezerva</t>
    </r>
  </si>
  <si>
    <t>Hospic Frýdek-Místek, p. o. - ÚZ 13305</t>
  </si>
  <si>
    <t>Jesle Frýdek-Místek, p. o. - na provoz</t>
  </si>
  <si>
    <t>Středisko sociálních služeb Frýdlant n. Ostravicí</t>
  </si>
  <si>
    <t>Charita Javorník - Dům pro seniory (v r. 2018 Charita Jeseník)</t>
  </si>
  <si>
    <t>Charita Jeseník - Domov pokojného stáří sv. Františka</t>
  </si>
  <si>
    <r>
      <t xml:space="preserve">Domov pro seniory Frýdek-Místek, p. o. </t>
    </r>
    <r>
      <rPr>
        <i/>
        <sz val="10"/>
        <color theme="1"/>
        <rFont val="Calibri"/>
        <family val="2"/>
        <charset val="238"/>
        <scheme val="minor"/>
      </rPr>
      <t>(přistoupení ke Smlouvě o závazku veřejné služby a vyrovnávací platbě za jeho výkon uzavřené mezi MSK a Penzionem pro seniory, p. o. - č. smlouvy 03147/2015/SOC)</t>
    </r>
  </si>
  <si>
    <r>
      <t xml:space="preserve">Domov pro seniory Frýdek-Místek, p. o.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Penzionem pro seniory, p. o. - č. smlouvy 03147/2015/SOC) - </t>
    </r>
    <r>
      <rPr>
        <sz val="10"/>
        <color theme="1"/>
        <rFont val="Calibri"/>
        <family val="2"/>
        <charset val="238"/>
        <scheme val="minor"/>
      </rPr>
      <t>rezerva</t>
    </r>
  </si>
  <si>
    <t>Domov pro seniory Frýdek-Místek, p. o. - ÚZ 13305</t>
  </si>
  <si>
    <t>Domov pro seniory Frýdek-Místek, p. o. - ÚZ 00359</t>
  </si>
  <si>
    <t>2.1.2018 - 31.12.2018</t>
  </si>
  <si>
    <r>
      <t xml:space="preserve">Centrum pečovatelské služby Frýdek-Místek, p. o.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Centrem pečovatelské služby Frýdek-Místek, p. o. - č. smlouvy 03064/2015/SOC) </t>
    </r>
  </si>
  <si>
    <r>
      <t xml:space="preserve">Centrum pečovatelské služby Frýdek-Místek, p. o.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Centrem pečovatelské služby Frýdek-Místek, p. o. - č. smlouvy 03064/2015/SOC) </t>
    </r>
    <r>
      <rPr>
        <sz val="10"/>
        <color theme="1"/>
        <rFont val="Calibri"/>
        <family val="2"/>
        <charset val="238"/>
        <scheme val="minor"/>
      </rPr>
      <t>- rezerva</t>
    </r>
  </si>
  <si>
    <t xml:space="preserve">Centrum pečovatelské služby Frýdek-Místek, p. o. - ÚZ 13305 </t>
  </si>
  <si>
    <r>
      <t xml:space="preserve">Penzion pro seniory Frýdek-Místek, p. o.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Penzionem pro seniory, p. o. - č. smlouvy 03172/2015/SOC) </t>
    </r>
  </si>
  <si>
    <t>Centrum pečovatelské služby Frýdek-Místek, p. o. - ÚZ 17016</t>
  </si>
  <si>
    <t>30.11.2016 - 30.5.2018</t>
  </si>
  <si>
    <t>Centrum pečovatelské služby Frýdek-Místek, p. o. - ÚZ 17015</t>
  </si>
  <si>
    <r>
      <t xml:space="preserve">Penzion pro seniory Frýdek-Místek, p. o.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Penzionem pro seniory, p. o. - č. smlouvy 03172/2015/SOC) </t>
    </r>
    <r>
      <rPr>
        <sz val="10"/>
        <color theme="1"/>
        <rFont val="Calibri"/>
        <family val="2"/>
        <charset val="238"/>
        <scheme val="minor"/>
      </rPr>
      <t>- rezerva</t>
    </r>
  </si>
  <si>
    <t>Penzion pro seniory Frýdek-Místek, p. o. - ÚZ 13305</t>
  </si>
  <si>
    <r>
      <t xml:space="preserve">ŽIRAFA-Integrované centrum Frýdek-Místek, p. o. </t>
    </r>
    <r>
      <rPr>
        <i/>
        <sz val="10"/>
        <color theme="1"/>
        <rFont val="Calibri"/>
        <family val="2"/>
        <charset val="238"/>
        <scheme val="minor"/>
      </rPr>
      <t>(přistoupení ke Smlouvě o závazku veřejné služby a vyrovnávací platbě za jeho výkon uzavřené mezi MSK a ŽIRAFOU-Integrovaným centrem Frýdek-Místek, p. o. - č. smlouvy 03060/2015/SOC)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</si>
  <si>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 xml:space="preserve">ŽIRAFA-Integrované centrum Frýdek-Místek, p. o. </t>
    </r>
    <r>
      <rPr>
        <i/>
        <sz val="10"/>
        <color theme="1"/>
        <rFont val="Calibri"/>
        <family val="2"/>
        <charset val="238"/>
        <scheme val="minor"/>
      </rPr>
      <t>(přistoupení ke Smlouvě o závazku veřejné služby a vyrovnávací platbě za jeho výkon uzavřené mezi MSK a ŽIRAFOU-Integrovaným centrem Frýdek-Místek, p. o. - č. smlouvy 03060/2015/SOC)</t>
    </r>
    <r>
      <rPr>
        <sz val="10"/>
        <color theme="1"/>
        <rFont val="Calibri"/>
        <family val="2"/>
        <charset val="238"/>
        <scheme val="minor"/>
      </rPr>
      <t xml:space="preserve"> - rezerva</t>
    </r>
  </si>
  <si>
    <t>ŽIRAFA-Integrované centrum Frýdek-Místek, p. o. - ÚZ 13305</t>
  </si>
  <si>
    <t>Slezská diakonie - Poradna rané péče EUNIKA</t>
  </si>
  <si>
    <t>Slezská diakonie - Týden chudoby</t>
  </si>
  <si>
    <t>Nemocnice ve Frýdku-Místku, p. o. - Beskydské ortopedické dny</t>
  </si>
  <si>
    <t>Nemocnice ve Frýdku-Místku, p. o. - neinvestiční transfer na nákup pomůcek pro nácvik resuscitačních technik (figurína KPR, figurína s defibrilátorem)</t>
  </si>
  <si>
    <t>MEDELA-péče o seniory, o. p. s.</t>
  </si>
  <si>
    <t>Armáda spásy - Domov Přístav Frýdek-Místek</t>
  </si>
  <si>
    <t>Integrovaný sociální ústav Komorní Lhotka</t>
  </si>
  <si>
    <t>Závazek MSK - Fond sociálních služeb</t>
  </si>
  <si>
    <t>Armáda spásy v ČR - Centrum sociálních služeb Ostrava</t>
  </si>
  <si>
    <t>Armáda spásy v ČR - noclehárna pro muže Ostrava</t>
  </si>
  <si>
    <t>Společně o. p. s. Brno - SeniorPoint</t>
  </si>
  <si>
    <t>Cesta bez bariér</t>
  </si>
  <si>
    <t>Cesta bez bariér - zajištění přepravy imobilních osob ve Frýdku-Místku</t>
  </si>
  <si>
    <t>Charita Frýdek-Místek - Dobrovolnické centrum - na dofinancování této sociální služby</t>
  </si>
  <si>
    <t>Charita Frýdek-Místek - na pořádání akce "Hry seniorů"</t>
  </si>
  <si>
    <t>Slezská diakonie - nízkoprahové denní centrum - na dofinancování provozu nízkoprahového denního centra</t>
  </si>
  <si>
    <t>Armáda spásy - Domov Přístav Frýdek-Místek - na částečné pokrytí nákladů spojených s vymalováním prostor služby Domova Přístav a optickým rozdělením vícelůžkových pokojů</t>
  </si>
  <si>
    <r>
      <t xml:space="preserve">NZDM Klub Kosťa a Klub Prostor </t>
    </r>
    <r>
      <rPr>
        <i/>
        <sz val="10"/>
        <color theme="1"/>
        <rFont val="Calibri"/>
        <family val="2"/>
        <charset val="238"/>
        <scheme val="minor"/>
      </rPr>
      <t>(přistoupení ke Smlouvě o závazku veřejné služby a vyrovnávací platbě za jeho výkon uzavřené mezi MSK a statutárním městem Frýdek-Místek, č. smlouvy 03250/2015/SOC)</t>
    </r>
  </si>
  <si>
    <t>NZDM Klub Kosťa a Klub Prostor - ÚZ 13305</t>
  </si>
  <si>
    <t>Ostatní neinvestiční výdaje odboru sociálních služeb</t>
  </si>
  <si>
    <t>ORJ 12-Investiční odbor</t>
  </si>
  <si>
    <t>Neinvestiční výdaje investičního odboru z transferů</t>
  </si>
  <si>
    <t>Ostatní neinvestiční výdaje investičního odboru</t>
  </si>
  <si>
    <t>ORJ 13-Odbor územního rozvoje a stavebního řádu</t>
  </si>
  <si>
    <t>Neinvestiční výdaje odboru územního rozvoje a stavebního řádu z transferů</t>
  </si>
  <si>
    <t>DP Regenerace objektů s historickou nebo historizující fasádou na území města Frýdek-Místek - viz doplňující příloha č. 9</t>
  </si>
  <si>
    <t>viz dopl. příloha č. 9</t>
  </si>
  <si>
    <t>DP Regenerace města Frýdku-Místku - viz doplňující příloha č. 7</t>
  </si>
  <si>
    <t>viz dopl. příloha č. 7</t>
  </si>
  <si>
    <t>Turistické informační centrum - na provoz (do 31. 12. 2017 Beskydské informační centrum)</t>
  </si>
  <si>
    <t xml:space="preserve">Turistické informační centrum - rezerva </t>
  </si>
  <si>
    <t>Turistické informační centrum - akce "Beskydské rekordy"</t>
  </si>
  <si>
    <t>Turistické informační centrum - ÚZ 00678</t>
  </si>
  <si>
    <t>Destinační management turistické oblasti Beskydy-Valašsko, o. p. s. - příspěvek do fondu cestovního ruchu</t>
  </si>
  <si>
    <t xml:space="preserve">Sdružení Region Beskydy - neinvestiční příspěvek </t>
  </si>
  <si>
    <t>Sdružení pro rozvoj Moravskoslezského kraje - členský příspěvek</t>
  </si>
  <si>
    <t>Asociace měst pro cyklisty - členský příspěvek</t>
  </si>
  <si>
    <t>Sdružení historických sídel Čech, Moravy a Slezska - členský příspěvek</t>
  </si>
  <si>
    <t>Dobrovolný svazek obcí Olešná - členský příspěvek</t>
  </si>
  <si>
    <t>Asociace pro urbanismus - členský příspěvek</t>
  </si>
  <si>
    <t>Svaz měst a obcí ČR - členský příspěvek</t>
  </si>
  <si>
    <t>Ostatní neinvestiční výdaje odboru územního rozvoje a stavebního řádu</t>
  </si>
  <si>
    <t>ORJ 16-Městská policie</t>
  </si>
  <si>
    <t>Neinvestiční výdaje Městské policie z transferů</t>
  </si>
  <si>
    <t>Ostatní neinvestiční výdaje Městské policie</t>
  </si>
  <si>
    <t>ORJ 17-Odbor informačních technologií</t>
  </si>
  <si>
    <t>Neinvestiční výdaje odboru informačních technologií z transferů</t>
  </si>
  <si>
    <t>Ostatní neinvestiční výdaje odboru informačních technologií</t>
  </si>
  <si>
    <t>ORJ 18-Odbor bezpečnostních rizik a prevence kriminality</t>
  </si>
  <si>
    <t>Neinvestiční výdaje odboru bezpečnostních rizik a prevence kriminality z transferů</t>
  </si>
  <si>
    <t>DP Prevence kriminality - viz doplňující příloha č. 6</t>
  </si>
  <si>
    <t>viz dopl. příloha č. 6</t>
  </si>
  <si>
    <t>Ostatní neinvestiční výdaje odboru bezpečnostních rizik a prevence kriminality</t>
  </si>
  <si>
    <t>Běžné výdaje celkem (třída 5)</t>
  </si>
  <si>
    <t>Kapitálové výdaje (třída 6)</t>
  </si>
  <si>
    <t>Ostatní kapitálové výdaje odboru kancelář primátora</t>
  </si>
  <si>
    <t>ORJ 02-Odbor vnitřních věcí</t>
  </si>
  <si>
    <t>Kapitálové výdaje odboru vnitřních věcí z transferů</t>
  </si>
  <si>
    <t>Výdaje na investiční akce</t>
  </si>
  <si>
    <t>Kapitálové výdaje hrazené ze sociálního fondu</t>
  </si>
  <si>
    <t>Ostatní kapitálové výdaje odboru vnitřních věcí</t>
  </si>
  <si>
    <t>Rezerva na investiční akce</t>
  </si>
  <si>
    <t>Rezerva na požadavky Osadního výboru Chlebovice</t>
  </si>
  <si>
    <t>Rezerva na požadavky Osadního výboru Lískovec</t>
  </si>
  <si>
    <t>Rezerva na požadavky Osadního výboru Zelinkovice-Lysůvky</t>
  </si>
  <si>
    <t>Rezerva na požadavky Osadního výboru Skalice</t>
  </si>
  <si>
    <t>Rezerva na požadavky Osadního výboru Panské Nové Dvory</t>
  </si>
  <si>
    <t>Ostatní kapitálové výdaje finančního odboru</t>
  </si>
  <si>
    <t>Kapitálové výdaje hrazené z FRB</t>
  </si>
  <si>
    <t>Kapitálové výdaje hrazené z Fondu pomoci občanům dotčeným výstavbou komunikace R/48</t>
  </si>
  <si>
    <t>Nabytí nemovité věci zapsané na LV č. 2293 v k.ú. Frýdek - pozemek p.č. 3130/2 o výměře 3069 m2, jehož součástí je stavba č.p. 494 (bývalý Hotel Centrum)</t>
  </si>
  <si>
    <t>Ostatní kapitálové výdaje odboru správy obecního majetku</t>
  </si>
  <si>
    <t>Ostatní kapitálové výdaje živnostenského úřadu</t>
  </si>
  <si>
    <t>Kapitálové výdaje odboru ŠKMaT z transferů</t>
  </si>
  <si>
    <t>ZŠ a MŠ F-M, Skalice - pro ZŠ - investiční transfer na vybudování chodníků ze svahu dětského hřiště na školní hřiště</t>
  </si>
  <si>
    <t>Basketpoint Frýdek-Místek, z. s. -investiční transfer na výstavbu basketbalové haly u ZŠ F-M, El. Krásnohorské 2254</t>
  </si>
  <si>
    <t>MŠ Pohádka - investiční transfer na opravu elektroinstalace v 1 učebním pavilonu MŠ v objektu na ul. Třanovského 404 (2. etapa)</t>
  </si>
  <si>
    <t>ZŠ a MŠ F-M, El. Krásnohorské 2254 - investiční transfer na výstavbu veřejného workoutového hřiště v areálu školy</t>
  </si>
  <si>
    <t>ZŠ a MŠ F-M, El. Krásnohorské 2254 - investiční zálohový příspěvek ve výši 10% spoluúčasti zřizovatele na projekt "Krok do života" z IROP</t>
  </si>
  <si>
    <t>ZŠ F-M, národního umělce P. Bezruče, TGM 454 - investiční zálohový příspěvek ve výši 10% spoluúčasti zřizovatele na projekt "Škola pro všechny" z IROP</t>
  </si>
  <si>
    <t>ZŠ a MŠ F-M, J. Čapka 2555 - investiční transfer na pořízení velkokapacitního konvektomatu pro školní jídelnu</t>
  </si>
  <si>
    <t>Ostatní kapitálové výdaje odboru ŠKMaT</t>
  </si>
  <si>
    <t>Kapitálové výdaje odboru dopravy a silničního hospodářství z transferů</t>
  </si>
  <si>
    <t>Ostatní kapitálové výdaje odboru dopravy a silničního hospodářství</t>
  </si>
  <si>
    <t>Kapitálové výdaje odboru životního prostředí a zemědělství z transferů</t>
  </si>
  <si>
    <t>DP Aktivity vedoucí ke zlepšení životního prostředí - viz doplňující příloha č. 5</t>
  </si>
  <si>
    <t>Spolek pro Faunapark - investiční transfer</t>
  </si>
  <si>
    <t>Spolek pro Faunapark - na pořízení mobilních WC</t>
  </si>
  <si>
    <t>Ostatní kapitálové výdaje odboru životního prostředí a zemědělství</t>
  </si>
  <si>
    <t>Kapitálové výdaje odboru sociální péče z transferů</t>
  </si>
  <si>
    <t>Ostatní kapitálové výdaje odboru sociální péče</t>
  </si>
  <si>
    <t>Kapitálové výdaje odboru sociálních služeb z transferů</t>
  </si>
  <si>
    <t>Centrum pečovatelské služby Frýdek-Místek, p. o. - Úz 17969</t>
  </si>
  <si>
    <t>Centrum pečovatelské služby Frýdek-Místek, p. o. - Úz 17968</t>
  </si>
  <si>
    <t>1.4.2018 - 31.12.2018</t>
  </si>
  <si>
    <t>ŽIRAFA-Integrované centrum Frýdek-Místek, p. o. - ÚZ 00359</t>
  </si>
  <si>
    <t>1.1.2018 - 30.6.2019</t>
  </si>
  <si>
    <t>Nemocnice ve Frýdku-Místku, p. o. - Smlouva o spolupráci - investiční transfer na nákup sanitního vozu</t>
  </si>
  <si>
    <t>Nemocnice ve Frýdku-Místku, p. o. - investiční transfer na nákup pomůcek pro nácvik resuscitačních technik (učební trenažér pro KPR dospělých)</t>
  </si>
  <si>
    <t>Zdravotnická záchranná služba MSK, p. o. - na pořízení přístrojového vybavení do sanitního vozidla RZP</t>
  </si>
  <si>
    <t>Ostatní kapitálové výdaje odboru sociálních služeb</t>
  </si>
  <si>
    <t>Kapitálové výdaje investičního odboru z transferů</t>
  </si>
  <si>
    <t>Římskokatolická farnost Frýdek - Basilika minor Navštívení Panny Marie - investiční transfer</t>
  </si>
  <si>
    <t>Ostatní kapitálové výdaje investičního odboru</t>
  </si>
  <si>
    <t>Kapitálové výdaje odboru územního rozvoje a stavebního řádu z transferů</t>
  </si>
  <si>
    <t>Rezerva na spolufinancování dotací</t>
  </si>
  <si>
    <t>Ostatní kapitálové výdaje odboru územního rozvoje a stavebního řádu</t>
  </si>
  <si>
    <t>Kapitálové výdaje Městské policie z transferů</t>
  </si>
  <si>
    <t>Kapitálové výdaje odboru informačních technologií z transferů</t>
  </si>
  <si>
    <t>Kapitálové výdaje odboru bezpečnostních rizik a prevence kriminality z transferů</t>
  </si>
  <si>
    <t>Záchranný hasičský sbor Moravskoslezského kraje - investiční transfer</t>
  </si>
  <si>
    <t>Kapitálové výdaje celkem (třída 6)</t>
  </si>
  <si>
    <t>Výdaje celkem (třída 5 - 6)</t>
  </si>
  <si>
    <t>Financování - výdaje (třída 8)</t>
  </si>
  <si>
    <t>8115 - Sociální fond</t>
  </si>
  <si>
    <t>8115 - Fond rozvoje bydlení</t>
  </si>
  <si>
    <t>8115 - Fond pomoci občanům dotčených výstavbou komunikace R/48</t>
  </si>
  <si>
    <t>8115 - Fond pomoci občanům dotčeným živelními pohromami</t>
  </si>
  <si>
    <t>8115 - Fond obnovy vodovodů a kanalizací</t>
  </si>
  <si>
    <t xml:space="preserve">8115 - Účelový zůstatek k 31. 12. </t>
  </si>
  <si>
    <t>8115 - Neúčelový zůstatek k 31. 12.</t>
  </si>
  <si>
    <t>8124 - Splátky úvěrů</t>
  </si>
  <si>
    <t>Financování - výdaje celkem (třída 8)</t>
  </si>
  <si>
    <t>Celkem potřeby (výdaje + financování)</t>
  </si>
  <si>
    <r>
      <t xml:space="preserve">RO RM                                č. 166 - 217             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</si>
  <si>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r>
      <t xml:space="preserve">Rozpočet r. 2018                          po 4. změně                                         a RO RM č. 1 - 217              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</si>
  <si>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t>MŠ Pohádka - ÚZ 13014</t>
  </si>
  <si>
    <t>MŠ J. Myslivečka - ÚZ 13014</t>
  </si>
  <si>
    <t>MŠ Anenská - ÚZ 13014</t>
  </si>
  <si>
    <t>MŠ Mateřídouška - ÚZ 13014</t>
  </si>
  <si>
    <t>MŠ Beruška - ÚZ 13014</t>
  </si>
  <si>
    <t>1.9.2017 - 30.6.2019</t>
  </si>
  <si>
    <t>V tom: ÚZ 34054 - Zachování a obnova kulturních památek SMFM - na výdaje spojené s obnovou ZŠ národního umělce P. Bezruče 454, Frýdek-Místek</t>
  </si>
  <si>
    <t>ÚZ 34054 - Zachování a obnova kulturních památek - Moravskoslezský kraj - na výdaje spojené s obnovou zámku čp. 1265, Frýdek-Místek</t>
  </si>
  <si>
    <t>ÚZ 34054 - Zachování a obnova kulturních památek - p. Šmaha - na výdaje spojené s obnovou městského domu čp. 33, nám. Svobody, Frýdek-Místek</t>
  </si>
  <si>
    <t>V tom: ÚZ 34054 - Zachování a obnova kulturních památek SMFM - na výdaje spojené s obnovou sloupu se sochou Panny Marie na p. č. 3131</t>
  </si>
  <si>
    <t>ZŠ a MŠ F-M, El. Krásnohorské 2254 - MŠ Lískovecká - ÚZ 13014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</si>
</sst>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0" fontId="0" fillId="3" borderId="2" xfId="0" applyFill="1" applyBorder="1"/>
    <xf numFmtId="0" fontId="0" fillId="3" borderId="3" xfId="0" applyFill="1" applyBorder="1"/>
    <xf numFmtId="0" fontId="0" fillId="3" borderId="5" xfId="0" applyFill="1" applyBorder="1"/>
    <xf numFmtId="0" fontId="4" fillId="0" borderId="6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" fontId="5" fillId="3" borderId="2" xfId="0" applyNumberFormat="1" applyFont="1" applyFill="1" applyBorder="1" applyAlignment="1">
      <alignment horizontal="right" vertical="center"/>
    </xf>
    <xf numFmtId="4" fontId="5" fillId="3" borderId="3" xfId="0" applyNumberFormat="1" applyFont="1" applyFill="1" applyBorder="1" applyAlignment="1">
      <alignment horizontal="right" vertical="center"/>
    </xf>
    <xf numFmtId="4" fontId="5" fillId="3" borderId="5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4" fillId="0" borderId="18" xfId="0" applyFont="1" applyBorder="1" applyAlignment="1">
      <alignment vertical="center" wrapText="1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0" fillId="0" borderId="19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4" fontId="4" fillId="4" borderId="2" xfId="0" applyNumberFormat="1" applyFont="1" applyFill="1" applyBorder="1" applyAlignment="1">
      <alignment horizontal="right" vertical="center"/>
    </xf>
    <xf numFmtId="4" fontId="4" fillId="4" borderId="3" xfId="0" applyNumberFormat="1" applyFont="1" applyFill="1" applyBorder="1" applyAlignment="1">
      <alignment horizontal="right" vertical="center"/>
    </xf>
    <xf numFmtId="4" fontId="0" fillId="4" borderId="2" xfId="0" applyNumberFormat="1" applyFill="1" applyBorder="1" applyAlignment="1">
      <alignment vertical="center"/>
    </xf>
    <xf numFmtId="4" fontId="0" fillId="4" borderId="3" xfId="0" applyNumberFormat="1" applyFill="1" applyBorder="1" applyAlignment="1">
      <alignment vertical="center"/>
    </xf>
    <xf numFmtId="4" fontId="0" fillId="4" borderId="5" xfId="0" applyNumberFormat="1" applyFill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4" fontId="1" fillId="4" borderId="2" xfId="0" applyNumberFormat="1" applyFont="1" applyFill="1" applyBorder="1" applyAlignment="1">
      <alignment horizontal="right" vertical="center"/>
    </xf>
    <xf numFmtId="4" fontId="1" fillId="4" borderId="3" xfId="0" applyNumberFormat="1" applyFont="1" applyFill="1" applyBorder="1" applyAlignment="1">
      <alignment horizontal="right" vertical="center"/>
    </xf>
    <xf numFmtId="4" fontId="1" fillId="4" borderId="5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 wrapText="1"/>
    </xf>
    <xf numFmtId="4" fontId="5" fillId="5" borderId="2" xfId="0" applyNumberFormat="1" applyFont="1" applyFill="1" applyBorder="1" applyAlignment="1">
      <alignment horizontal="right" vertical="center"/>
    </xf>
    <xf numFmtId="4" fontId="5" fillId="5" borderId="3" xfId="0" applyNumberFormat="1" applyFont="1" applyFill="1" applyBorder="1" applyAlignment="1">
      <alignment horizontal="right" vertical="center"/>
    </xf>
    <xf numFmtId="4" fontId="5" fillId="5" borderId="5" xfId="0" applyNumberFormat="1" applyFont="1" applyFill="1" applyBorder="1" applyAlignment="1">
      <alignment horizontal="right" vertical="center"/>
    </xf>
    <xf numFmtId="4" fontId="4" fillId="0" borderId="19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1" fillId="6" borderId="1" xfId="0" applyFont="1" applyFill="1" applyBorder="1" applyAlignment="1">
      <alignment horizontal="left" vertical="center" wrapText="1"/>
    </xf>
    <xf numFmtId="4" fontId="4" fillId="6" borderId="2" xfId="0" applyNumberFormat="1" applyFont="1" applyFill="1" applyBorder="1" applyAlignment="1">
      <alignment horizontal="right" vertical="center"/>
    </xf>
    <xf numFmtId="4" fontId="1" fillId="6" borderId="2" xfId="0" applyNumberFormat="1" applyFont="1" applyFill="1" applyBorder="1" applyAlignment="1">
      <alignment horizontal="right" vertical="center"/>
    </xf>
    <xf numFmtId="4" fontId="1" fillId="6" borderId="3" xfId="0" applyNumberFormat="1" applyFont="1" applyFill="1" applyBorder="1" applyAlignment="1">
      <alignment horizontal="right" vertical="center"/>
    </xf>
    <xf numFmtId="4" fontId="4" fillId="6" borderId="3" xfId="0" applyNumberFormat="1" applyFont="1" applyFill="1" applyBorder="1" applyAlignment="1">
      <alignment horizontal="right" vertical="center"/>
    </xf>
    <xf numFmtId="4" fontId="4" fillId="6" borderId="2" xfId="0" applyNumberFormat="1" applyFont="1" applyFill="1" applyBorder="1" applyAlignment="1">
      <alignment vertical="center"/>
    </xf>
    <xf numFmtId="4" fontId="4" fillId="6" borderId="3" xfId="0" applyNumberFormat="1" applyFont="1" applyFill="1" applyBorder="1" applyAlignment="1">
      <alignment vertical="center"/>
    </xf>
    <xf numFmtId="4" fontId="0" fillId="6" borderId="3" xfId="0" applyNumberFormat="1" applyFill="1" applyBorder="1" applyAlignment="1">
      <alignment vertical="center"/>
    </xf>
    <xf numFmtId="4" fontId="0" fillId="6" borderId="2" xfId="0" applyNumberFormat="1" applyFill="1" applyBorder="1" applyAlignment="1">
      <alignment vertical="center"/>
    </xf>
    <xf numFmtId="4" fontId="0" fillId="6" borderId="5" xfId="0" applyNumberFormat="1" applyFill="1" applyBorder="1" applyAlignment="1">
      <alignment vertical="center"/>
    </xf>
    <xf numFmtId="0" fontId="6" fillId="7" borderId="1" xfId="0" applyFont="1" applyFill="1" applyBorder="1" applyAlignment="1">
      <alignment horizontal="left" vertical="center" wrapText="1"/>
    </xf>
    <xf numFmtId="4" fontId="6" fillId="7" borderId="2" xfId="0" applyNumberFormat="1" applyFont="1" applyFill="1" applyBorder="1" applyAlignment="1">
      <alignment horizontal="right" vertical="center"/>
    </xf>
    <xf numFmtId="4" fontId="6" fillId="7" borderId="3" xfId="0" applyNumberFormat="1" applyFont="1" applyFill="1" applyBorder="1" applyAlignment="1">
      <alignment horizontal="right" vertical="center"/>
    </xf>
    <xf numFmtId="4" fontId="6" fillId="7" borderId="5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left" vertical="center" wrapText="1"/>
    </xf>
    <xf numFmtId="4" fontId="4" fillId="0" borderId="23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0" fillId="0" borderId="12" xfId="0" applyNumberFormat="1" applyBorder="1" applyAlignment="1">
      <alignment vertical="center"/>
    </xf>
    <xf numFmtId="0" fontId="4" fillId="0" borderId="28" xfId="0" applyFont="1" applyBorder="1" applyAlignment="1">
      <alignment horizontal="left" vertical="center" wrapText="1"/>
    </xf>
    <xf numFmtId="4" fontId="4" fillId="0" borderId="23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left" vertical="center" wrapText="1"/>
    </xf>
    <xf numFmtId="4" fontId="4" fillId="0" borderId="33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right" vertical="center"/>
    </xf>
    <xf numFmtId="4" fontId="4" fillId="0" borderId="35" xfId="0" applyNumberFormat="1" applyFont="1" applyBorder="1" applyAlignment="1">
      <alignment horizontal="right" vertical="center"/>
    </xf>
    <xf numFmtId="4" fontId="4" fillId="0" borderId="35" xfId="0" applyNumberFormat="1" applyFont="1" applyFill="1" applyBorder="1" applyAlignment="1">
      <alignment horizontal="right" vertical="center"/>
    </xf>
    <xf numFmtId="4" fontId="4" fillId="0" borderId="35" xfId="0" applyNumberFormat="1" applyFont="1" applyBorder="1" applyAlignment="1">
      <alignment vertical="center"/>
    </xf>
    <xf numFmtId="0" fontId="1" fillId="7" borderId="36" xfId="0" applyFont="1" applyFill="1" applyBorder="1" applyAlignment="1">
      <alignment horizontal="left" vertical="center" wrapText="1"/>
    </xf>
    <xf numFmtId="4" fontId="1" fillId="7" borderId="2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right" vertical="center"/>
    </xf>
    <xf numFmtId="4" fontId="6" fillId="7" borderId="2" xfId="0" applyNumberFormat="1" applyFont="1" applyFill="1" applyBorder="1" applyAlignment="1">
      <alignment horizontal="center" vertical="center"/>
    </xf>
    <xf numFmtId="4" fontId="1" fillId="7" borderId="3" xfId="0" applyNumberFormat="1" applyFont="1" applyFill="1" applyBorder="1" applyAlignment="1">
      <alignment vertical="center"/>
    </xf>
    <xf numFmtId="4" fontId="1" fillId="7" borderId="5" xfId="0" applyNumberFormat="1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vertical="center"/>
    </xf>
    <xf numFmtId="0" fontId="4" fillId="0" borderId="18" xfId="0" applyFont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4" fontId="1" fillId="7" borderId="3" xfId="0" applyNumberFormat="1" applyFont="1" applyFill="1" applyBorder="1" applyAlignment="1">
      <alignment horizontal="right" vertical="center"/>
    </xf>
    <xf numFmtId="4" fontId="1" fillId="7" borderId="5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6" fillId="7" borderId="2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4" fontId="4" fillId="0" borderId="40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vertical="center"/>
    </xf>
    <xf numFmtId="4" fontId="4" fillId="0" borderId="41" xfId="0" applyNumberFormat="1" applyFont="1" applyBorder="1" applyAlignment="1">
      <alignment vertical="center"/>
    </xf>
    <xf numFmtId="4" fontId="6" fillId="7" borderId="5" xfId="0" applyNumberFormat="1" applyFont="1" applyFill="1" applyBorder="1" applyAlignment="1">
      <alignment vertical="center"/>
    </xf>
    <xf numFmtId="0" fontId="4" fillId="0" borderId="39" xfId="0" applyFont="1" applyBorder="1" applyAlignment="1">
      <alignment vertical="center" wrapText="1"/>
    </xf>
    <xf numFmtId="4" fontId="6" fillId="7" borderId="3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4" fontId="1" fillId="6" borderId="2" xfId="0" applyNumberFormat="1" applyFont="1" applyFill="1" applyBorder="1" applyAlignment="1">
      <alignment horizontal="center" vertical="center"/>
    </xf>
    <xf numFmtId="4" fontId="1" fillId="6" borderId="2" xfId="0" applyNumberFormat="1" applyFont="1" applyFill="1" applyBorder="1" applyAlignment="1">
      <alignment vertical="center"/>
    </xf>
    <xf numFmtId="4" fontId="1" fillId="6" borderId="3" xfId="0" applyNumberFormat="1" applyFont="1" applyFill="1" applyBorder="1" applyAlignment="1">
      <alignment vertical="center"/>
    </xf>
    <xf numFmtId="4" fontId="1" fillId="6" borderId="5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6" fillId="6" borderId="2" xfId="0" applyNumberFormat="1" applyFont="1" applyFill="1" applyBorder="1" applyAlignment="1">
      <alignment horizontal="center" vertical="center"/>
    </xf>
    <xf numFmtId="4" fontId="6" fillId="6" borderId="2" xfId="0" applyNumberFormat="1" applyFont="1" applyFill="1" applyBorder="1" applyAlignment="1">
      <alignment vertical="center"/>
    </xf>
    <xf numFmtId="4" fontId="6" fillId="6" borderId="3" xfId="0" applyNumberFormat="1" applyFont="1" applyFill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42" xfId="0" applyNumberFormat="1" applyBorder="1" applyAlignment="1">
      <alignment vertical="center"/>
    </xf>
    <xf numFmtId="4" fontId="0" fillId="0" borderId="11" xfId="0" applyNumberFormat="1" applyBorder="1" applyAlignment="1">
      <alignment vertical="center" wrapText="1"/>
    </xf>
    <xf numFmtId="4" fontId="8" fillId="0" borderId="11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7" borderId="39" xfId="0" applyFont="1" applyFill="1" applyBorder="1" applyAlignment="1">
      <alignment vertical="center"/>
    </xf>
    <xf numFmtId="4" fontId="6" fillId="7" borderId="40" xfId="0" applyNumberFormat="1" applyFont="1" applyFill="1" applyBorder="1" applyAlignment="1">
      <alignment horizontal="center" vertical="center"/>
    </xf>
    <xf numFmtId="4" fontId="6" fillId="7" borderId="40" xfId="0" applyNumberFormat="1" applyFont="1" applyFill="1" applyBorder="1" applyAlignment="1">
      <alignment vertical="center"/>
    </xf>
    <xf numFmtId="4" fontId="6" fillId="7" borderId="41" xfId="0" applyNumberFormat="1" applyFont="1" applyFill="1" applyBorder="1" applyAlignment="1">
      <alignment vertical="center"/>
    </xf>
    <xf numFmtId="4" fontId="1" fillId="7" borderId="41" xfId="0" applyNumberFormat="1" applyFont="1" applyFill="1" applyBorder="1" applyAlignment="1">
      <alignment vertical="center"/>
    </xf>
    <xf numFmtId="4" fontId="1" fillId="7" borderId="40" xfId="0" applyNumberFormat="1" applyFont="1" applyFill="1" applyBorder="1" applyAlignment="1">
      <alignment vertical="center"/>
    </xf>
    <xf numFmtId="4" fontId="1" fillId="7" borderId="43" xfId="0" applyNumberFormat="1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4" fontId="4" fillId="0" borderId="33" xfId="0" applyNumberFormat="1" applyFont="1" applyBorder="1" applyAlignment="1">
      <alignment vertical="center"/>
    </xf>
    <xf numFmtId="0" fontId="6" fillId="7" borderId="6" xfId="0" applyFont="1" applyFill="1" applyBorder="1" applyAlignment="1">
      <alignment vertical="center"/>
    </xf>
    <xf numFmtId="4" fontId="6" fillId="7" borderId="7" xfId="0" applyNumberFormat="1" applyFont="1" applyFill="1" applyBorder="1" applyAlignment="1">
      <alignment horizontal="center" vertical="center"/>
    </xf>
    <xf numFmtId="4" fontId="6" fillId="7" borderId="7" xfId="0" applyNumberFormat="1" applyFont="1" applyFill="1" applyBorder="1" applyAlignment="1">
      <alignment vertical="center"/>
    </xf>
    <xf numFmtId="4" fontId="6" fillId="7" borderId="8" xfId="0" applyNumberFormat="1" applyFont="1" applyFill="1" applyBorder="1" applyAlignment="1">
      <alignment vertical="center"/>
    </xf>
    <xf numFmtId="4" fontId="1" fillId="7" borderId="8" xfId="0" applyNumberFormat="1" applyFont="1" applyFill="1" applyBorder="1" applyAlignment="1">
      <alignment vertical="center"/>
    </xf>
    <xf numFmtId="4" fontId="1" fillId="7" borderId="7" xfId="0" applyNumberFormat="1" applyFont="1" applyFill="1" applyBorder="1" applyAlignment="1">
      <alignment vertical="center"/>
    </xf>
    <xf numFmtId="4" fontId="1" fillId="7" borderId="9" xfId="0" applyNumberFormat="1" applyFont="1" applyFill="1" applyBorder="1" applyAlignment="1">
      <alignment vertical="center"/>
    </xf>
    <xf numFmtId="4" fontId="1" fillId="7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4" fontId="5" fillId="6" borderId="2" xfId="0" applyNumberFormat="1" applyFont="1" applyFill="1" applyBorder="1" applyAlignment="1">
      <alignment horizontal="center" vertical="center"/>
    </xf>
    <xf numFmtId="4" fontId="5" fillId="6" borderId="2" xfId="0" applyNumberFormat="1" applyFont="1" applyFill="1" applyBorder="1" applyAlignment="1">
      <alignment vertical="center"/>
    </xf>
    <xf numFmtId="4" fontId="5" fillId="6" borderId="3" xfId="0" applyNumberFormat="1" applyFont="1" applyFill="1" applyBorder="1" applyAlignment="1">
      <alignment vertical="center"/>
    </xf>
    <xf numFmtId="4" fontId="5" fillId="6" borderId="5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4" borderId="44" xfId="0" applyFont="1" applyFill="1" applyBorder="1" applyAlignment="1">
      <alignment vertical="center" wrapText="1"/>
    </xf>
    <xf numFmtId="4" fontId="4" fillId="4" borderId="33" xfId="0" applyNumberFormat="1" applyFont="1" applyFill="1" applyBorder="1" applyAlignment="1">
      <alignment horizontal="center" vertical="center"/>
    </xf>
    <xf numFmtId="4" fontId="4" fillId="4" borderId="33" xfId="0" applyNumberFormat="1" applyFont="1" applyFill="1" applyBorder="1" applyAlignment="1">
      <alignment horizontal="right" vertical="center"/>
    </xf>
    <xf numFmtId="4" fontId="4" fillId="4" borderId="35" xfId="0" applyNumberFormat="1" applyFont="1" applyFill="1" applyBorder="1" applyAlignment="1">
      <alignment horizontal="right" vertical="center"/>
    </xf>
    <xf numFmtId="4" fontId="4" fillId="4" borderId="33" xfId="0" applyNumberFormat="1" applyFont="1" applyFill="1" applyBorder="1" applyAlignment="1">
      <alignment vertical="center"/>
    </xf>
    <xf numFmtId="4" fontId="4" fillId="4" borderId="35" xfId="0" applyNumberFormat="1" applyFont="1" applyFill="1" applyBorder="1" applyAlignment="1">
      <alignment vertical="center"/>
    </xf>
    <xf numFmtId="4" fontId="0" fillId="4" borderId="35" xfId="0" applyNumberFormat="1" applyFill="1" applyBorder="1" applyAlignment="1">
      <alignment vertical="center"/>
    </xf>
    <xf numFmtId="4" fontId="5" fillId="5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4" fontId="0" fillId="0" borderId="0" xfId="0" applyNumberFormat="1" applyBorder="1"/>
    <xf numFmtId="0" fontId="9" fillId="0" borderId="15" xfId="0" applyFont="1" applyBorder="1" applyAlignment="1">
      <alignment vertical="center" wrapText="1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vertical="center"/>
    </xf>
    <xf numFmtId="4" fontId="9" fillId="0" borderId="17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9" fillId="0" borderId="11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vertical="center"/>
    </xf>
    <xf numFmtId="0" fontId="1" fillId="4" borderId="39" xfId="0" applyFont="1" applyFill="1" applyBorder="1" applyAlignment="1">
      <alignment vertical="center" wrapText="1"/>
    </xf>
    <xf numFmtId="4" fontId="1" fillId="4" borderId="40" xfId="0" applyNumberFormat="1" applyFont="1" applyFill="1" applyBorder="1" applyAlignment="1">
      <alignment horizontal="center" vertical="center"/>
    </xf>
    <xf numFmtId="4" fontId="1" fillId="4" borderId="40" xfId="0" applyNumberFormat="1" applyFont="1" applyFill="1" applyBorder="1" applyAlignment="1">
      <alignment horizontal="right" vertical="center"/>
    </xf>
    <xf numFmtId="4" fontId="1" fillId="4" borderId="41" xfId="0" applyNumberFormat="1" applyFont="1" applyFill="1" applyBorder="1" applyAlignment="1">
      <alignment horizontal="right" vertical="center"/>
    </xf>
    <xf numFmtId="4" fontId="1" fillId="4" borderId="43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5"/>
  <sheetViews>
    <sheetView tabSelected="1" view="pageLayout" topLeftCell="A457" zoomScaleNormal="100" workbookViewId="0">
      <selection activeCell="A149" sqref="A149"/>
    </sheetView>
  </sheetViews>
  <sheetFormatPr defaultRowHeight="15" x14ac:dyDescent="0.25"/>
  <cols>
    <col min="1" max="1" width="46.85546875" customWidth="1"/>
    <col min="2" max="2" width="16.7109375" customWidth="1"/>
    <col min="3" max="3" width="13.140625" hidden="1" customWidth="1"/>
    <col min="4" max="4" width="13.42578125" customWidth="1"/>
    <col min="5" max="5" width="11.140625" hidden="1" customWidth="1"/>
    <col min="6" max="6" width="0.42578125" hidden="1" customWidth="1"/>
    <col min="7" max="7" width="13.28515625" hidden="1" customWidth="1"/>
    <col min="8" max="8" width="10" hidden="1" customWidth="1"/>
    <col min="9" max="9" width="7.7109375" hidden="1" customWidth="1"/>
    <col min="10" max="10" width="10" hidden="1" customWidth="1"/>
    <col min="11" max="11" width="12.85546875" customWidth="1"/>
    <col min="12" max="13" width="11.85546875" customWidth="1"/>
    <col min="14" max="14" width="17.140625" customWidth="1"/>
    <col min="15" max="15" width="13.7109375" customWidth="1"/>
  </cols>
  <sheetData>
    <row r="1" spans="1:15" ht="60.7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3" t="s">
        <v>10</v>
      </c>
      <c r="L1" s="2" t="s">
        <v>461</v>
      </c>
      <c r="M1" s="2" t="s">
        <v>11</v>
      </c>
      <c r="N1" s="5" t="s">
        <v>462</v>
      </c>
    </row>
    <row r="2" spans="1:15" ht="15.75" thickBot="1" x14ac:dyDescent="0.3">
      <c r="A2" s="6" t="s">
        <v>12</v>
      </c>
      <c r="B2" s="7"/>
      <c r="C2" s="7"/>
      <c r="D2" s="7"/>
      <c r="E2" s="8"/>
      <c r="F2" s="8"/>
      <c r="G2" s="8"/>
      <c r="H2" s="9"/>
      <c r="I2" s="10"/>
      <c r="J2" s="10"/>
      <c r="K2" s="10"/>
      <c r="L2" s="9"/>
      <c r="M2" s="9"/>
      <c r="N2" s="11"/>
    </row>
    <row r="3" spans="1:15" x14ac:dyDescent="0.25">
      <c r="A3" s="12" t="s">
        <v>13</v>
      </c>
      <c r="B3" s="13"/>
      <c r="C3" s="13">
        <v>840053.01</v>
      </c>
      <c r="D3" s="13">
        <v>862008</v>
      </c>
      <c r="E3" s="14">
        <v>0</v>
      </c>
      <c r="F3" s="14">
        <f>-4435.89</f>
        <v>-4435.8900000000003</v>
      </c>
      <c r="G3" s="14">
        <f>D3+E3+F3</f>
        <v>857572.11</v>
      </c>
      <c r="H3" s="15">
        <v>8647.58</v>
      </c>
      <c r="I3" s="16">
        <v>0</v>
      </c>
      <c r="J3" s="16">
        <v>0</v>
      </c>
      <c r="K3" s="17">
        <f>G3+H3+I3+J3</f>
        <v>866219.69</v>
      </c>
      <c r="L3" s="18">
        <v>0</v>
      </c>
      <c r="M3" s="18">
        <v>19501</v>
      </c>
      <c r="N3" s="19">
        <f>K3+L3+M3</f>
        <v>885720.69</v>
      </c>
    </row>
    <row r="4" spans="1:15" x14ac:dyDescent="0.25">
      <c r="A4" s="20" t="s">
        <v>14</v>
      </c>
      <c r="B4" s="21"/>
      <c r="C4" s="21">
        <v>139520.46</v>
      </c>
      <c r="D4" s="21">
        <v>127559.5</v>
      </c>
      <c r="E4" s="22">
        <f>8.85+154+67.62</f>
        <v>230.47</v>
      </c>
      <c r="F4" s="22">
        <f>249.43</f>
        <v>249.43</v>
      </c>
      <c r="G4" s="23">
        <f>D4+E4+F4+82.5+21.1</f>
        <v>128143</v>
      </c>
      <c r="H4" s="24">
        <v>5761.32</v>
      </c>
      <c r="I4" s="25">
        <v>0</v>
      </c>
      <c r="J4" s="25">
        <f>55.2</f>
        <v>55.2</v>
      </c>
      <c r="K4" s="26">
        <f t="shared" ref="K4:K6" si="0">G4+H4+I4+J4</f>
        <v>133959.52000000002</v>
      </c>
      <c r="L4" s="27">
        <f>44.86+359</f>
        <v>403.86</v>
      </c>
      <c r="M4" s="27">
        <v>8995.6299999999992</v>
      </c>
      <c r="N4" s="28">
        <f>K4+L4+M4</f>
        <v>143359.01</v>
      </c>
    </row>
    <row r="5" spans="1:15" x14ac:dyDescent="0.25">
      <c r="A5" s="20" t="s">
        <v>15</v>
      </c>
      <c r="B5" s="21"/>
      <c r="C5" s="21">
        <v>3372</v>
      </c>
      <c r="D5" s="21">
        <v>2000</v>
      </c>
      <c r="E5" s="22">
        <v>0</v>
      </c>
      <c r="F5" s="22">
        <f>0</f>
        <v>0</v>
      </c>
      <c r="G5" s="23">
        <f t="shared" ref="G5" si="1">D5+E5+F5</f>
        <v>2000</v>
      </c>
      <c r="H5" s="24">
        <v>1686.11</v>
      </c>
      <c r="I5" s="25">
        <v>0</v>
      </c>
      <c r="J5" s="25">
        <v>0</v>
      </c>
      <c r="K5" s="26">
        <f t="shared" si="0"/>
        <v>3686.1099999999997</v>
      </c>
      <c r="L5" s="27">
        <v>0</v>
      </c>
      <c r="M5" s="27">
        <v>118</v>
      </c>
      <c r="N5" s="28">
        <f t="shared" ref="N5:N6" si="2">K5+L5+M5</f>
        <v>3804.1099999999997</v>
      </c>
    </row>
    <row r="6" spans="1:15" ht="15.75" thickBot="1" x14ac:dyDescent="0.3">
      <c r="A6" s="29" t="s">
        <v>16</v>
      </c>
      <c r="B6" s="30"/>
      <c r="C6" s="30">
        <v>122494.07</v>
      </c>
      <c r="D6" s="30">
        <v>91218.3</v>
      </c>
      <c r="E6" s="31">
        <f>1844.47+1920+1779.4+946.79+168.95+7174.06</f>
        <v>13833.670000000002</v>
      </c>
      <c r="F6" s="31">
        <f>-6130</f>
        <v>-6130</v>
      </c>
      <c r="G6" s="23">
        <f>D6+E6+F6+31532+4827.1</f>
        <v>135281.07</v>
      </c>
      <c r="H6" s="32">
        <v>359.24</v>
      </c>
      <c r="I6" s="33">
        <v>0</v>
      </c>
      <c r="J6" s="33">
        <f>1681</f>
        <v>1681</v>
      </c>
      <c r="K6" s="26">
        <f t="shared" si="0"/>
        <v>137321.31</v>
      </c>
      <c r="L6" s="34">
        <f>470.97+12002.92+2184.99</f>
        <v>14658.88</v>
      </c>
      <c r="M6" s="34">
        <v>314.68</v>
      </c>
      <c r="N6" s="28">
        <f t="shared" si="2"/>
        <v>152294.87</v>
      </c>
    </row>
    <row r="7" spans="1:15" ht="16.5" thickBot="1" x14ac:dyDescent="0.3">
      <c r="A7" s="35" t="s">
        <v>17</v>
      </c>
      <c r="B7" s="36"/>
      <c r="C7" s="36">
        <f>SUM(C3:C6)</f>
        <v>1105439.54</v>
      </c>
      <c r="D7" s="36">
        <f>SUM(D3:D6)</f>
        <v>1082785.8</v>
      </c>
      <c r="E7" s="36">
        <f>SUM(E3:E6)</f>
        <v>14064.140000000001</v>
      </c>
      <c r="F7" s="36">
        <f>SUM(F3:F6)</f>
        <v>-10316.459999999999</v>
      </c>
      <c r="G7" s="37">
        <f>SUM(G3:G6)</f>
        <v>1122996.18</v>
      </c>
      <c r="H7" s="37">
        <f t="shared" ref="H7:N7" si="3">SUM(H3:H6)</f>
        <v>16454.25</v>
      </c>
      <c r="I7" s="37">
        <f t="shared" si="3"/>
        <v>0</v>
      </c>
      <c r="J7" s="37">
        <f t="shared" si="3"/>
        <v>1736.2</v>
      </c>
      <c r="K7" s="37">
        <f t="shared" si="3"/>
        <v>1141186.6299999999</v>
      </c>
      <c r="L7" s="37">
        <f t="shared" si="3"/>
        <v>15062.74</v>
      </c>
      <c r="M7" s="37">
        <f t="shared" si="3"/>
        <v>28929.309999999998</v>
      </c>
      <c r="N7" s="38">
        <f t="shared" si="3"/>
        <v>1185178.68</v>
      </c>
      <c r="O7" s="39"/>
    </row>
    <row r="8" spans="1:15" ht="15.75" thickBot="1" x14ac:dyDescent="0.3">
      <c r="A8" s="40"/>
      <c r="B8" s="41"/>
      <c r="C8" s="41"/>
      <c r="D8" s="41"/>
      <c r="E8" s="42"/>
      <c r="F8" s="42"/>
      <c r="G8" s="42"/>
      <c r="H8" s="43"/>
      <c r="I8" s="44"/>
      <c r="J8" s="44"/>
      <c r="K8" s="44"/>
      <c r="L8" s="43"/>
      <c r="M8" s="43"/>
      <c r="N8" s="45"/>
    </row>
    <row r="9" spans="1:15" ht="15.75" thickBot="1" x14ac:dyDescent="0.3">
      <c r="A9" s="46" t="s">
        <v>18</v>
      </c>
      <c r="B9" s="47"/>
      <c r="C9" s="47"/>
      <c r="D9" s="47"/>
      <c r="E9" s="48"/>
      <c r="F9" s="48"/>
      <c r="G9" s="48"/>
      <c r="H9" s="49"/>
      <c r="I9" s="50"/>
      <c r="J9" s="50"/>
      <c r="K9" s="50"/>
      <c r="L9" s="49"/>
      <c r="M9" s="49"/>
      <c r="N9" s="51"/>
    </row>
    <row r="10" spans="1:15" x14ac:dyDescent="0.25">
      <c r="A10" s="52" t="s">
        <v>19</v>
      </c>
      <c r="B10" s="53"/>
      <c r="C10" s="53">
        <v>275348.55</v>
      </c>
      <c r="D10" s="53">
        <v>163074.38</v>
      </c>
      <c r="E10" s="13">
        <f>340.39+0.04</f>
        <v>340.43</v>
      </c>
      <c r="F10" s="54">
        <v>40855.29</v>
      </c>
      <c r="G10" s="23">
        <f>D10+E10+F10</f>
        <v>204270.1</v>
      </c>
      <c r="H10" s="55">
        <v>0</v>
      </c>
      <c r="I10" s="56">
        <v>0</v>
      </c>
      <c r="J10" s="56">
        <v>0</v>
      </c>
      <c r="K10" s="26">
        <f>G10+H10+I10+J10</f>
        <v>204270.1</v>
      </c>
      <c r="L10" s="57">
        <v>0</v>
      </c>
      <c r="M10" s="57">
        <v>0</v>
      </c>
      <c r="N10" s="58">
        <f>K10+L10+M10</f>
        <v>204270.1</v>
      </c>
    </row>
    <row r="11" spans="1:15" x14ac:dyDescent="0.25">
      <c r="A11" s="20" t="s">
        <v>20</v>
      </c>
      <c r="B11" s="21"/>
      <c r="C11" s="21">
        <v>106900.96</v>
      </c>
      <c r="D11" s="21">
        <v>0</v>
      </c>
      <c r="E11" s="21">
        <v>0</v>
      </c>
      <c r="F11" s="59">
        <v>112327.99</v>
      </c>
      <c r="G11" s="23">
        <f t="shared" ref="G11:G14" si="4">D11+E11+F11</f>
        <v>112327.99</v>
      </c>
      <c r="H11" s="24">
        <v>0</v>
      </c>
      <c r="I11" s="25">
        <v>0</v>
      </c>
      <c r="J11" s="25">
        <v>0</v>
      </c>
      <c r="K11" s="26">
        <f t="shared" ref="K11:K16" si="5">G11+H11+I11+J11</f>
        <v>112327.99</v>
      </c>
      <c r="L11" s="27">
        <v>0</v>
      </c>
      <c r="M11" s="27">
        <v>0</v>
      </c>
      <c r="N11" s="28">
        <f>K11+L11+M11</f>
        <v>112327.99</v>
      </c>
    </row>
    <row r="12" spans="1:15" x14ac:dyDescent="0.25">
      <c r="A12" s="20" t="s">
        <v>21</v>
      </c>
      <c r="B12" s="21"/>
      <c r="C12" s="21">
        <v>1</v>
      </c>
      <c r="D12" s="21">
        <v>801</v>
      </c>
      <c r="E12" s="21">
        <v>0</v>
      </c>
      <c r="F12" s="59">
        <v>0</v>
      </c>
      <c r="G12" s="23">
        <f t="shared" si="4"/>
        <v>801</v>
      </c>
      <c r="H12" s="24">
        <v>-800</v>
      </c>
      <c r="I12" s="25">
        <v>0</v>
      </c>
      <c r="J12" s="25">
        <v>0</v>
      </c>
      <c r="K12" s="26">
        <f t="shared" si="5"/>
        <v>1</v>
      </c>
      <c r="L12" s="27">
        <v>0</v>
      </c>
      <c r="M12" s="27">
        <v>0</v>
      </c>
      <c r="N12" s="28">
        <f t="shared" ref="N12:N16" si="6">K12+L12+M12</f>
        <v>1</v>
      </c>
    </row>
    <row r="13" spans="1:15" x14ac:dyDescent="0.25">
      <c r="A13" s="20" t="s">
        <v>22</v>
      </c>
      <c r="B13" s="21"/>
      <c r="C13" s="21">
        <v>5120</v>
      </c>
      <c r="D13" s="21">
        <v>6618</v>
      </c>
      <c r="E13" s="21">
        <v>0</v>
      </c>
      <c r="F13" s="59">
        <v>0</v>
      </c>
      <c r="G13" s="23">
        <f t="shared" si="4"/>
        <v>6618</v>
      </c>
      <c r="H13" s="24">
        <v>0</v>
      </c>
      <c r="I13" s="25">
        <v>0</v>
      </c>
      <c r="J13" s="25">
        <v>0</v>
      </c>
      <c r="K13" s="26">
        <f t="shared" si="5"/>
        <v>6618</v>
      </c>
      <c r="L13" s="27">
        <v>0</v>
      </c>
      <c r="M13" s="27">
        <v>0</v>
      </c>
      <c r="N13" s="28">
        <f t="shared" si="6"/>
        <v>6618</v>
      </c>
    </row>
    <row r="14" spans="1:15" ht="30" customHeight="1" x14ac:dyDescent="0.25">
      <c r="A14" s="20" t="s">
        <v>23</v>
      </c>
      <c r="B14" s="21"/>
      <c r="C14" s="21">
        <v>2087.0500000000002</v>
      </c>
      <c r="D14" s="21">
        <v>1967.47</v>
      </c>
      <c r="E14" s="21">
        <v>0</v>
      </c>
      <c r="F14" s="59">
        <v>0</v>
      </c>
      <c r="G14" s="23">
        <f t="shared" si="4"/>
        <v>1967.47</v>
      </c>
      <c r="H14" s="24">
        <v>1.5</v>
      </c>
      <c r="I14" s="25">
        <v>0</v>
      </c>
      <c r="J14" s="25">
        <v>0</v>
      </c>
      <c r="K14" s="26">
        <f t="shared" si="5"/>
        <v>1968.97</v>
      </c>
      <c r="L14" s="27">
        <v>0</v>
      </c>
      <c r="M14" s="27">
        <v>0</v>
      </c>
      <c r="N14" s="28">
        <f t="shared" si="6"/>
        <v>1968.97</v>
      </c>
    </row>
    <row r="15" spans="1:15" ht="25.5" customHeight="1" x14ac:dyDescent="0.25">
      <c r="A15" s="20" t="s">
        <v>24</v>
      </c>
      <c r="B15" s="21"/>
      <c r="C15" s="21">
        <v>0</v>
      </c>
      <c r="D15" s="21">
        <v>0</v>
      </c>
      <c r="E15" s="21">
        <v>0</v>
      </c>
      <c r="F15" s="59">
        <v>0</v>
      </c>
      <c r="G15" s="23">
        <f>D15+E15+F15</f>
        <v>0</v>
      </c>
      <c r="H15" s="24">
        <v>0</v>
      </c>
      <c r="I15" s="25">
        <v>0</v>
      </c>
      <c r="J15" s="25">
        <v>0</v>
      </c>
      <c r="K15" s="26">
        <f t="shared" si="5"/>
        <v>0</v>
      </c>
      <c r="L15" s="27">
        <v>0</v>
      </c>
      <c r="M15" s="27">
        <v>0</v>
      </c>
      <c r="N15" s="28">
        <f t="shared" si="6"/>
        <v>0</v>
      </c>
    </row>
    <row r="16" spans="1:15" ht="15.75" thickBot="1" x14ac:dyDescent="0.3">
      <c r="A16" s="29" t="s">
        <v>25</v>
      </c>
      <c r="B16" s="30"/>
      <c r="C16" s="30">
        <v>60400</v>
      </c>
      <c r="D16" s="30">
        <v>67500</v>
      </c>
      <c r="E16" s="30">
        <v>0</v>
      </c>
      <c r="F16" s="60">
        <v>0</v>
      </c>
      <c r="G16" s="23">
        <f>D16+E16+F16</f>
        <v>67500</v>
      </c>
      <c r="H16" s="32">
        <v>0</v>
      </c>
      <c r="I16" s="33">
        <v>0</v>
      </c>
      <c r="J16" s="33">
        <v>41050</v>
      </c>
      <c r="K16" s="26">
        <f t="shared" si="5"/>
        <v>108550</v>
      </c>
      <c r="L16" s="34">
        <v>0</v>
      </c>
      <c r="M16" s="34">
        <v>0</v>
      </c>
      <c r="N16" s="28">
        <f t="shared" si="6"/>
        <v>108550</v>
      </c>
    </row>
    <row r="17" spans="1:14" ht="15.75" thickBot="1" x14ac:dyDescent="0.3">
      <c r="A17" s="46" t="s">
        <v>26</v>
      </c>
      <c r="B17" s="61"/>
      <c r="C17" s="61">
        <f>C10+C11+C12+C13+C14+C15+C16</f>
        <v>449857.56</v>
      </c>
      <c r="D17" s="61">
        <f t="shared" ref="D17:N17" si="7">D10+D11+D12+D13+D14+D15+D16</f>
        <v>239960.85</v>
      </c>
      <c r="E17" s="61">
        <f t="shared" si="7"/>
        <v>340.43</v>
      </c>
      <c r="F17" s="61">
        <f t="shared" si="7"/>
        <v>153183.28</v>
      </c>
      <c r="G17" s="61">
        <f t="shared" si="7"/>
        <v>393484.56</v>
      </c>
      <c r="H17" s="61">
        <f t="shared" si="7"/>
        <v>-798.5</v>
      </c>
      <c r="I17" s="61">
        <f t="shared" si="7"/>
        <v>0</v>
      </c>
      <c r="J17" s="61">
        <f t="shared" si="7"/>
        <v>41050</v>
      </c>
      <c r="K17" s="62">
        <f t="shared" si="7"/>
        <v>433736.06</v>
      </c>
      <c r="L17" s="62">
        <f t="shared" si="7"/>
        <v>0</v>
      </c>
      <c r="M17" s="62">
        <f t="shared" si="7"/>
        <v>0</v>
      </c>
      <c r="N17" s="63">
        <f t="shared" si="7"/>
        <v>433736.06</v>
      </c>
    </row>
    <row r="18" spans="1:14" ht="16.5" thickBot="1" x14ac:dyDescent="0.3">
      <c r="A18" s="64" t="s">
        <v>27</v>
      </c>
      <c r="B18" s="65"/>
      <c r="C18" s="65">
        <f>C7+C17</f>
        <v>1555297.1</v>
      </c>
      <c r="D18" s="65">
        <f>D7+D17</f>
        <v>1322746.6500000001</v>
      </c>
      <c r="E18" s="65">
        <f t="shared" ref="E18:N18" si="8">E7+E17</f>
        <v>14404.570000000002</v>
      </c>
      <c r="F18" s="65">
        <f t="shared" si="8"/>
        <v>142866.82</v>
      </c>
      <c r="G18" s="65">
        <f t="shared" si="8"/>
        <v>1516480.74</v>
      </c>
      <c r="H18" s="65">
        <f t="shared" si="8"/>
        <v>15655.75</v>
      </c>
      <c r="I18" s="65">
        <f t="shared" si="8"/>
        <v>0</v>
      </c>
      <c r="J18" s="65">
        <f t="shared" si="8"/>
        <v>42786.2</v>
      </c>
      <c r="K18" s="66">
        <f t="shared" si="8"/>
        <v>1574922.69</v>
      </c>
      <c r="L18" s="66">
        <f t="shared" si="8"/>
        <v>15062.74</v>
      </c>
      <c r="M18" s="66">
        <f t="shared" si="8"/>
        <v>28929.309999999998</v>
      </c>
      <c r="N18" s="67">
        <f t="shared" si="8"/>
        <v>1618914.74</v>
      </c>
    </row>
    <row r="19" spans="1:14" ht="15.75" thickBot="1" x14ac:dyDescent="0.3">
      <c r="A19" s="40"/>
      <c r="B19" s="41"/>
      <c r="C19" s="41"/>
      <c r="D19" s="41"/>
      <c r="E19" s="42"/>
      <c r="F19" s="42"/>
      <c r="G19" s="42"/>
      <c r="H19" s="68"/>
      <c r="I19" s="69"/>
      <c r="J19" s="69"/>
      <c r="K19" s="44"/>
      <c r="L19" s="43"/>
      <c r="M19" s="43"/>
      <c r="N19" s="45"/>
    </row>
    <row r="20" spans="1:14" ht="15.75" thickBot="1" x14ac:dyDescent="0.3">
      <c r="A20" s="70" t="s">
        <v>28</v>
      </c>
      <c r="B20" s="71"/>
      <c r="C20" s="71"/>
      <c r="D20" s="72"/>
      <c r="E20" s="73"/>
      <c r="F20" s="73"/>
      <c r="G20" s="74"/>
      <c r="H20" s="75"/>
      <c r="I20" s="76"/>
      <c r="J20" s="76"/>
      <c r="K20" s="77"/>
      <c r="L20" s="78"/>
      <c r="M20" s="78"/>
      <c r="N20" s="79"/>
    </row>
    <row r="21" spans="1:14" ht="15.75" thickBot="1" x14ac:dyDescent="0.3">
      <c r="A21" s="80" t="s">
        <v>29</v>
      </c>
      <c r="B21" s="81"/>
      <c r="C21" s="81">
        <f>SUM(C23:C23)</f>
        <v>1993.75</v>
      </c>
      <c r="D21" s="81">
        <f>SUM(D23:D35)</f>
        <v>2752</v>
      </c>
      <c r="E21" s="81">
        <f t="shared" ref="E21:F21" si="9">SUM(E23:E35)</f>
        <v>0</v>
      </c>
      <c r="F21" s="81">
        <f t="shared" si="9"/>
        <v>0</v>
      </c>
      <c r="G21" s="82">
        <f>SUM(G23:G51)</f>
        <v>2752</v>
      </c>
      <c r="H21" s="82">
        <f t="shared" ref="H21:M21" si="10">SUM(H23:H51)</f>
        <v>0</v>
      </c>
      <c r="I21" s="82">
        <f t="shared" si="10"/>
        <v>0</v>
      </c>
      <c r="J21" s="82">
        <f t="shared" si="10"/>
        <v>0</v>
      </c>
      <c r="K21" s="82">
        <f t="shared" si="10"/>
        <v>2752</v>
      </c>
      <c r="L21" s="82">
        <f t="shared" si="10"/>
        <v>0</v>
      </c>
      <c r="M21" s="82">
        <f t="shared" si="10"/>
        <v>0</v>
      </c>
      <c r="N21" s="83">
        <f>K21+L21+M21</f>
        <v>2752</v>
      </c>
    </row>
    <row r="22" spans="1:14" x14ac:dyDescent="0.25">
      <c r="A22" s="84" t="s">
        <v>30</v>
      </c>
      <c r="B22" s="85"/>
      <c r="C22" s="85"/>
      <c r="D22" s="85"/>
      <c r="E22" s="86"/>
      <c r="F22" s="86"/>
      <c r="G22" s="86"/>
      <c r="H22" s="55"/>
      <c r="I22" s="56"/>
      <c r="J22" s="56"/>
      <c r="K22" s="26"/>
      <c r="L22" s="57"/>
      <c r="M22" s="57"/>
      <c r="N22" s="58"/>
    </row>
    <row r="23" spans="1:14" x14ac:dyDescent="0.25">
      <c r="A23" s="87" t="s">
        <v>31</v>
      </c>
      <c r="B23" s="88"/>
      <c r="C23" s="89">
        <v>1993.75</v>
      </c>
      <c r="D23" s="21">
        <v>2752</v>
      </c>
      <c r="E23" s="22">
        <v>0</v>
      </c>
      <c r="F23" s="22">
        <v>-313.75</v>
      </c>
      <c r="G23" s="90">
        <f>D23+E23+F23</f>
        <v>2438.25</v>
      </c>
      <c r="H23" s="24">
        <f>-483-55</f>
        <v>-538</v>
      </c>
      <c r="I23" s="25">
        <v>0</v>
      </c>
      <c r="J23" s="25">
        <v>0</v>
      </c>
      <c r="K23" s="91">
        <f>G23+H23+I23+J23</f>
        <v>1900.25</v>
      </c>
      <c r="L23" s="27">
        <v>0</v>
      </c>
      <c r="M23" s="27">
        <v>0</v>
      </c>
      <c r="N23" s="28">
        <f>K23+L23+M23</f>
        <v>1900.25</v>
      </c>
    </row>
    <row r="24" spans="1:14" ht="41.25" customHeight="1" x14ac:dyDescent="0.25">
      <c r="A24" s="87" t="s">
        <v>32</v>
      </c>
      <c r="B24" s="88" t="s">
        <v>33</v>
      </c>
      <c r="C24" s="89"/>
      <c r="D24" s="21">
        <v>0</v>
      </c>
      <c r="E24" s="22">
        <v>0</v>
      </c>
      <c r="F24" s="22">
        <v>30</v>
      </c>
      <c r="G24" s="90">
        <f t="shared" ref="G24:G35" si="11">D24+E24+F24</f>
        <v>30</v>
      </c>
      <c r="H24" s="24">
        <v>0</v>
      </c>
      <c r="I24" s="25">
        <v>0</v>
      </c>
      <c r="J24" s="25">
        <v>0</v>
      </c>
      <c r="K24" s="91">
        <f t="shared" ref="K24:K51" si="12">G24+H24+I24+J24</f>
        <v>30</v>
      </c>
      <c r="L24" s="27">
        <v>0</v>
      </c>
      <c r="M24" s="27">
        <v>0</v>
      </c>
      <c r="N24" s="28">
        <f t="shared" ref="N24:N51" si="13">K24+L24+M24</f>
        <v>30</v>
      </c>
    </row>
    <row r="25" spans="1:14" ht="49.5" customHeight="1" x14ac:dyDescent="0.25">
      <c r="A25" s="87" t="s">
        <v>34</v>
      </c>
      <c r="B25" s="88" t="s">
        <v>35</v>
      </c>
      <c r="C25" s="89"/>
      <c r="D25" s="21">
        <v>0</v>
      </c>
      <c r="E25" s="22">
        <v>0</v>
      </c>
      <c r="F25" s="22">
        <v>20</v>
      </c>
      <c r="G25" s="90">
        <f t="shared" si="11"/>
        <v>20</v>
      </c>
      <c r="H25" s="24">
        <v>0</v>
      </c>
      <c r="I25" s="25">
        <v>0</v>
      </c>
      <c r="J25" s="25">
        <v>0</v>
      </c>
      <c r="K25" s="91">
        <f t="shared" si="12"/>
        <v>20</v>
      </c>
      <c r="L25" s="27">
        <v>0</v>
      </c>
      <c r="M25" s="27">
        <v>0</v>
      </c>
      <c r="N25" s="28">
        <f t="shared" si="13"/>
        <v>20</v>
      </c>
    </row>
    <row r="26" spans="1:14" ht="25.5" x14ac:dyDescent="0.25">
      <c r="A26" s="87" t="s">
        <v>36</v>
      </c>
      <c r="B26" s="88" t="s">
        <v>35</v>
      </c>
      <c r="C26" s="89"/>
      <c r="D26" s="21">
        <v>0</v>
      </c>
      <c r="E26" s="22">
        <v>0</v>
      </c>
      <c r="F26" s="22">
        <v>15</v>
      </c>
      <c r="G26" s="90">
        <f t="shared" si="11"/>
        <v>15</v>
      </c>
      <c r="H26" s="24">
        <v>0</v>
      </c>
      <c r="I26" s="25">
        <v>0</v>
      </c>
      <c r="J26" s="25">
        <v>0</v>
      </c>
      <c r="K26" s="91">
        <f t="shared" si="12"/>
        <v>15</v>
      </c>
      <c r="L26" s="27">
        <v>0</v>
      </c>
      <c r="M26" s="27">
        <v>0</v>
      </c>
      <c r="N26" s="28">
        <f t="shared" si="13"/>
        <v>15</v>
      </c>
    </row>
    <row r="27" spans="1:14" ht="24" customHeight="1" x14ac:dyDescent="0.25">
      <c r="A27" s="87" t="s">
        <v>37</v>
      </c>
      <c r="B27" s="88" t="s">
        <v>35</v>
      </c>
      <c r="C27" s="89"/>
      <c r="D27" s="21">
        <v>0</v>
      </c>
      <c r="E27" s="22">
        <v>0</v>
      </c>
      <c r="F27" s="22">
        <v>15</v>
      </c>
      <c r="G27" s="90">
        <f t="shared" si="11"/>
        <v>15</v>
      </c>
      <c r="H27" s="24">
        <v>0</v>
      </c>
      <c r="I27" s="25">
        <v>0</v>
      </c>
      <c r="J27" s="25">
        <v>0</v>
      </c>
      <c r="K27" s="91">
        <f t="shared" si="12"/>
        <v>15</v>
      </c>
      <c r="L27" s="27">
        <v>0</v>
      </c>
      <c r="M27" s="27">
        <v>0</v>
      </c>
      <c r="N27" s="28">
        <f t="shared" si="13"/>
        <v>15</v>
      </c>
    </row>
    <row r="28" spans="1:14" ht="25.5" x14ac:dyDescent="0.25">
      <c r="A28" s="87" t="s">
        <v>38</v>
      </c>
      <c r="B28" s="88" t="s">
        <v>35</v>
      </c>
      <c r="C28" s="89"/>
      <c r="D28" s="21">
        <v>0</v>
      </c>
      <c r="E28" s="22">
        <v>0</v>
      </c>
      <c r="F28" s="22">
        <v>25</v>
      </c>
      <c r="G28" s="90">
        <f t="shared" si="11"/>
        <v>25</v>
      </c>
      <c r="H28" s="24">
        <v>0</v>
      </c>
      <c r="I28" s="25">
        <v>0</v>
      </c>
      <c r="J28" s="25">
        <v>0</v>
      </c>
      <c r="K28" s="91">
        <f t="shared" si="12"/>
        <v>25</v>
      </c>
      <c r="L28" s="27">
        <v>0</v>
      </c>
      <c r="M28" s="27">
        <v>0</v>
      </c>
      <c r="N28" s="28">
        <f t="shared" si="13"/>
        <v>25</v>
      </c>
    </row>
    <row r="29" spans="1:14" ht="25.5" x14ac:dyDescent="0.25">
      <c r="A29" s="87" t="s">
        <v>39</v>
      </c>
      <c r="B29" s="88" t="s">
        <v>40</v>
      </c>
      <c r="C29" s="89"/>
      <c r="D29" s="21">
        <v>0</v>
      </c>
      <c r="E29" s="22">
        <v>0</v>
      </c>
      <c r="F29" s="22">
        <v>20</v>
      </c>
      <c r="G29" s="90">
        <f t="shared" si="11"/>
        <v>20</v>
      </c>
      <c r="H29" s="24">
        <v>0</v>
      </c>
      <c r="I29" s="25">
        <v>0</v>
      </c>
      <c r="J29" s="25">
        <v>0</v>
      </c>
      <c r="K29" s="91">
        <f t="shared" si="12"/>
        <v>20</v>
      </c>
      <c r="L29" s="27">
        <v>0</v>
      </c>
      <c r="M29" s="27">
        <v>0</v>
      </c>
      <c r="N29" s="28">
        <f t="shared" si="13"/>
        <v>20</v>
      </c>
    </row>
    <row r="30" spans="1:14" ht="41.25" customHeight="1" x14ac:dyDescent="0.25">
      <c r="A30" s="92" t="s">
        <v>41</v>
      </c>
      <c r="B30" s="93" t="s">
        <v>42</v>
      </c>
      <c r="C30" s="94"/>
      <c r="D30" s="53">
        <v>0</v>
      </c>
      <c r="E30" s="23">
        <v>0</v>
      </c>
      <c r="F30" s="23">
        <v>50</v>
      </c>
      <c r="G30" s="90">
        <f t="shared" si="11"/>
        <v>50</v>
      </c>
      <c r="H30" s="24">
        <v>0</v>
      </c>
      <c r="I30" s="25">
        <v>0</v>
      </c>
      <c r="J30" s="25">
        <v>0</v>
      </c>
      <c r="K30" s="91">
        <f t="shared" si="12"/>
        <v>50</v>
      </c>
      <c r="L30" s="27">
        <v>0</v>
      </c>
      <c r="M30" s="27">
        <v>0</v>
      </c>
      <c r="N30" s="28">
        <f t="shared" si="13"/>
        <v>50</v>
      </c>
    </row>
    <row r="31" spans="1:14" ht="25.5" x14ac:dyDescent="0.25">
      <c r="A31" s="87" t="s">
        <v>43</v>
      </c>
      <c r="B31" s="88" t="s">
        <v>42</v>
      </c>
      <c r="C31" s="89"/>
      <c r="D31" s="21">
        <v>0</v>
      </c>
      <c r="E31" s="22">
        <v>0</v>
      </c>
      <c r="F31" s="22">
        <v>3.75</v>
      </c>
      <c r="G31" s="90">
        <f t="shared" si="11"/>
        <v>3.75</v>
      </c>
      <c r="H31" s="24">
        <v>0</v>
      </c>
      <c r="I31" s="25">
        <v>0</v>
      </c>
      <c r="J31" s="25">
        <v>0</v>
      </c>
      <c r="K31" s="91">
        <f t="shared" si="12"/>
        <v>3.75</v>
      </c>
      <c r="L31" s="27">
        <v>0</v>
      </c>
      <c r="M31" s="27">
        <v>0</v>
      </c>
      <c r="N31" s="28">
        <f t="shared" si="13"/>
        <v>3.75</v>
      </c>
    </row>
    <row r="32" spans="1:14" ht="25.5" x14ac:dyDescent="0.25">
      <c r="A32" s="87" t="s">
        <v>44</v>
      </c>
      <c r="B32" s="88" t="s">
        <v>40</v>
      </c>
      <c r="C32" s="89"/>
      <c r="D32" s="21">
        <v>0</v>
      </c>
      <c r="E32" s="22">
        <v>0</v>
      </c>
      <c r="F32" s="22">
        <v>15</v>
      </c>
      <c r="G32" s="90">
        <f t="shared" si="11"/>
        <v>15</v>
      </c>
      <c r="H32" s="24">
        <v>0</v>
      </c>
      <c r="I32" s="25">
        <v>0</v>
      </c>
      <c r="J32" s="25">
        <v>0</v>
      </c>
      <c r="K32" s="91">
        <f t="shared" si="12"/>
        <v>15</v>
      </c>
      <c r="L32" s="27">
        <v>0</v>
      </c>
      <c r="M32" s="27">
        <v>0</v>
      </c>
      <c r="N32" s="28">
        <f t="shared" si="13"/>
        <v>15</v>
      </c>
    </row>
    <row r="33" spans="1:14" ht="15" customHeight="1" x14ac:dyDescent="0.25">
      <c r="A33" s="87" t="s">
        <v>45</v>
      </c>
      <c r="B33" s="88" t="s">
        <v>40</v>
      </c>
      <c r="C33" s="89"/>
      <c r="D33" s="21">
        <v>0</v>
      </c>
      <c r="E33" s="22">
        <v>0</v>
      </c>
      <c r="F33" s="22">
        <v>50</v>
      </c>
      <c r="G33" s="90">
        <f t="shared" si="11"/>
        <v>50</v>
      </c>
      <c r="H33" s="24">
        <v>0</v>
      </c>
      <c r="I33" s="25">
        <v>0</v>
      </c>
      <c r="J33" s="25">
        <v>0</v>
      </c>
      <c r="K33" s="91">
        <f t="shared" si="12"/>
        <v>50</v>
      </c>
      <c r="L33" s="27">
        <v>0</v>
      </c>
      <c r="M33" s="27">
        <v>0</v>
      </c>
      <c r="N33" s="28">
        <f t="shared" si="13"/>
        <v>50</v>
      </c>
    </row>
    <row r="34" spans="1:14" ht="25.5" customHeight="1" x14ac:dyDescent="0.25">
      <c r="A34" s="87" t="s">
        <v>46</v>
      </c>
      <c r="B34" s="88" t="s">
        <v>47</v>
      </c>
      <c r="C34" s="89"/>
      <c r="D34" s="21">
        <v>0</v>
      </c>
      <c r="E34" s="22">
        <v>0</v>
      </c>
      <c r="F34" s="21">
        <v>50</v>
      </c>
      <c r="G34" s="90">
        <f t="shared" si="11"/>
        <v>50</v>
      </c>
      <c r="H34" s="24">
        <v>0</v>
      </c>
      <c r="I34" s="25">
        <v>0</v>
      </c>
      <c r="J34" s="25">
        <v>0</v>
      </c>
      <c r="K34" s="91">
        <f t="shared" si="12"/>
        <v>50</v>
      </c>
      <c r="L34" s="27">
        <v>0</v>
      </c>
      <c r="M34" s="27">
        <v>0</v>
      </c>
      <c r="N34" s="28">
        <f t="shared" si="13"/>
        <v>50</v>
      </c>
    </row>
    <row r="35" spans="1:14" ht="38.25" x14ac:dyDescent="0.25">
      <c r="A35" s="87" t="s">
        <v>48</v>
      </c>
      <c r="B35" s="88" t="s">
        <v>47</v>
      </c>
      <c r="C35" s="89"/>
      <c r="D35" s="21">
        <v>0</v>
      </c>
      <c r="E35" s="22">
        <v>0</v>
      </c>
      <c r="F35" s="22">
        <v>20</v>
      </c>
      <c r="G35" s="90">
        <f t="shared" si="11"/>
        <v>20</v>
      </c>
      <c r="H35" s="24">
        <v>0</v>
      </c>
      <c r="I35" s="25">
        <v>0</v>
      </c>
      <c r="J35" s="25">
        <v>0</v>
      </c>
      <c r="K35" s="91">
        <f t="shared" si="12"/>
        <v>20</v>
      </c>
      <c r="L35" s="27">
        <v>0</v>
      </c>
      <c r="M35" s="27">
        <v>0</v>
      </c>
      <c r="N35" s="28">
        <f t="shared" si="13"/>
        <v>20</v>
      </c>
    </row>
    <row r="36" spans="1:14" ht="25.5" x14ac:dyDescent="0.25">
      <c r="A36" s="87" t="s">
        <v>49</v>
      </c>
      <c r="B36" s="88" t="s">
        <v>50</v>
      </c>
      <c r="C36" s="89"/>
      <c r="D36" s="21">
        <v>0</v>
      </c>
      <c r="E36" s="22"/>
      <c r="F36" s="22"/>
      <c r="G36" s="90">
        <v>0</v>
      </c>
      <c r="H36" s="24">
        <v>20</v>
      </c>
      <c r="I36" s="25">
        <v>0</v>
      </c>
      <c r="J36" s="25">
        <v>0</v>
      </c>
      <c r="K36" s="91">
        <f t="shared" si="12"/>
        <v>20</v>
      </c>
      <c r="L36" s="27">
        <v>0</v>
      </c>
      <c r="M36" s="27">
        <v>0</v>
      </c>
      <c r="N36" s="28">
        <f t="shared" si="13"/>
        <v>20</v>
      </c>
    </row>
    <row r="37" spans="1:14" x14ac:dyDescent="0.25">
      <c r="A37" s="87" t="s">
        <v>51</v>
      </c>
      <c r="B37" s="88" t="s">
        <v>52</v>
      </c>
      <c r="C37" s="89"/>
      <c r="D37" s="21">
        <v>0</v>
      </c>
      <c r="E37" s="22"/>
      <c r="F37" s="22"/>
      <c r="G37" s="90">
        <v>0</v>
      </c>
      <c r="H37" s="24">
        <v>30</v>
      </c>
      <c r="I37" s="25">
        <v>0</v>
      </c>
      <c r="J37" s="25">
        <v>0</v>
      </c>
      <c r="K37" s="91">
        <f t="shared" si="12"/>
        <v>30</v>
      </c>
      <c r="L37" s="27">
        <v>0</v>
      </c>
      <c r="M37" s="27">
        <v>0</v>
      </c>
      <c r="N37" s="28">
        <f t="shared" si="13"/>
        <v>30</v>
      </c>
    </row>
    <row r="38" spans="1:14" ht="25.5" x14ac:dyDescent="0.25">
      <c r="A38" s="87" t="s">
        <v>53</v>
      </c>
      <c r="B38" s="88" t="s">
        <v>50</v>
      </c>
      <c r="C38" s="89"/>
      <c r="D38" s="21">
        <v>0</v>
      </c>
      <c r="E38" s="22"/>
      <c r="F38" s="22"/>
      <c r="G38" s="90">
        <v>0</v>
      </c>
      <c r="H38" s="24">
        <v>50</v>
      </c>
      <c r="I38" s="25">
        <v>0</v>
      </c>
      <c r="J38" s="25">
        <v>0</v>
      </c>
      <c r="K38" s="91">
        <f t="shared" si="12"/>
        <v>50</v>
      </c>
      <c r="L38" s="27">
        <v>0</v>
      </c>
      <c r="M38" s="27">
        <v>0</v>
      </c>
      <c r="N38" s="28">
        <f t="shared" si="13"/>
        <v>50</v>
      </c>
    </row>
    <row r="39" spans="1:14" ht="25.5" x14ac:dyDescent="0.25">
      <c r="A39" s="87" t="s">
        <v>54</v>
      </c>
      <c r="B39" s="88" t="s">
        <v>50</v>
      </c>
      <c r="C39" s="89"/>
      <c r="D39" s="21">
        <v>0</v>
      </c>
      <c r="E39" s="22"/>
      <c r="F39" s="22"/>
      <c r="G39" s="90">
        <v>0</v>
      </c>
      <c r="H39" s="24">
        <v>30</v>
      </c>
      <c r="I39" s="25">
        <v>0</v>
      </c>
      <c r="J39" s="25">
        <v>0</v>
      </c>
      <c r="K39" s="91">
        <f t="shared" si="12"/>
        <v>30</v>
      </c>
      <c r="L39" s="27">
        <v>0</v>
      </c>
      <c r="M39" s="27">
        <v>0</v>
      </c>
      <c r="N39" s="28">
        <f t="shared" si="13"/>
        <v>30</v>
      </c>
    </row>
    <row r="40" spans="1:14" ht="25.5" x14ac:dyDescent="0.25">
      <c r="A40" s="87" t="s">
        <v>55</v>
      </c>
      <c r="B40" s="88" t="s">
        <v>56</v>
      </c>
      <c r="C40" s="89"/>
      <c r="D40" s="21">
        <v>0</v>
      </c>
      <c r="E40" s="22"/>
      <c r="F40" s="22"/>
      <c r="G40" s="90">
        <v>0</v>
      </c>
      <c r="H40" s="24">
        <v>50</v>
      </c>
      <c r="I40" s="25">
        <v>0</v>
      </c>
      <c r="J40" s="25">
        <v>0</v>
      </c>
      <c r="K40" s="91">
        <f t="shared" si="12"/>
        <v>50</v>
      </c>
      <c r="L40" s="27">
        <v>0</v>
      </c>
      <c r="M40" s="27">
        <v>0</v>
      </c>
      <c r="N40" s="28">
        <f t="shared" si="13"/>
        <v>50</v>
      </c>
    </row>
    <row r="41" spans="1:14" ht="25.5" customHeight="1" x14ac:dyDescent="0.25">
      <c r="A41" s="87" t="s">
        <v>57</v>
      </c>
      <c r="B41" s="88" t="s">
        <v>58</v>
      </c>
      <c r="C41" s="89"/>
      <c r="D41" s="21">
        <v>0</v>
      </c>
      <c r="E41" s="22"/>
      <c r="F41" s="22"/>
      <c r="G41" s="90">
        <v>0</v>
      </c>
      <c r="H41" s="24">
        <v>50</v>
      </c>
      <c r="I41" s="25">
        <v>0</v>
      </c>
      <c r="J41" s="25">
        <v>0</v>
      </c>
      <c r="K41" s="91">
        <f t="shared" si="12"/>
        <v>50</v>
      </c>
      <c r="L41" s="27">
        <v>0</v>
      </c>
      <c r="M41" s="27">
        <v>0</v>
      </c>
      <c r="N41" s="28">
        <f t="shared" si="13"/>
        <v>50</v>
      </c>
    </row>
    <row r="42" spans="1:14" ht="25.5" x14ac:dyDescent="0.25">
      <c r="A42" s="92" t="s">
        <v>59</v>
      </c>
      <c r="B42" s="93" t="s">
        <v>60</v>
      </c>
      <c r="C42" s="94"/>
      <c r="D42" s="53">
        <v>0</v>
      </c>
      <c r="E42" s="23"/>
      <c r="F42" s="23"/>
      <c r="G42" s="86">
        <v>0</v>
      </c>
      <c r="H42" s="55">
        <v>70</v>
      </c>
      <c r="I42" s="56">
        <v>0</v>
      </c>
      <c r="J42" s="56">
        <v>0</v>
      </c>
      <c r="K42" s="26">
        <f t="shared" si="12"/>
        <v>70</v>
      </c>
      <c r="L42" s="57">
        <v>0</v>
      </c>
      <c r="M42" s="57">
        <v>0</v>
      </c>
      <c r="N42" s="28">
        <f t="shared" si="13"/>
        <v>70</v>
      </c>
    </row>
    <row r="43" spans="1:14" ht="25.5" x14ac:dyDescent="0.25">
      <c r="A43" s="87" t="s">
        <v>61</v>
      </c>
      <c r="B43" s="88" t="s">
        <v>56</v>
      </c>
      <c r="C43" s="89"/>
      <c r="D43" s="21">
        <v>0</v>
      </c>
      <c r="E43" s="22"/>
      <c r="F43" s="22"/>
      <c r="G43" s="90">
        <v>0</v>
      </c>
      <c r="H43" s="24">
        <v>50</v>
      </c>
      <c r="I43" s="25">
        <v>0</v>
      </c>
      <c r="J43" s="25">
        <v>0</v>
      </c>
      <c r="K43" s="91">
        <f t="shared" si="12"/>
        <v>50</v>
      </c>
      <c r="L43" s="27">
        <v>0</v>
      </c>
      <c r="M43" s="27">
        <v>0</v>
      </c>
      <c r="N43" s="28">
        <f t="shared" si="13"/>
        <v>50</v>
      </c>
    </row>
    <row r="44" spans="1:14" ht="25.5" x14ac:dyDescent="0.25">
      <c r="A44" s="87" t="s">
        <v>62</v>
      </c>
      <c r="B44" s="88" t="s">
        <v>58</v>
      </c>
      <c r="C44" s="89"/>
      <c r="D44" s="21">
        <v>0</v>
      </c>
      <c r="E44" s="22"/>
      <c r="F44" s="22"/>
      <c r="G44" s="90">
        <v>0</v>
      </c>
      <c r="H44" s="24">
        <v>5</v>
      </c>
      <c r="I44" s="25">
        <v>0</v>
      </c>
      <c r="J44" s="25">
        <v>0</v>
      </c>
      <c r="K44" s="91">
        <f t="shared" si="12"/>
        <v>5</v>
      </c>
      <c r="L44" s="27">
        <v>0</v>
      </c>
      <c r="M44" s="27">
        <v>0</v>
      </c>
      <c r="N44" s="28">
        <f t="shared" si="13"/>
        <v>5</v>
      </c>
    </row>
    <row r="45" spans="1:14" ht="25.5" x14ac:dyDescent="0.25">
      <c r="A45" s="87" t="s">
        <v>63</v>
      </c>
      <c r="B45" s="88" t="s">
        <v>50</v>
      </c>
      <c r="C45" s="89"/>
      <c r="D45" s="21">
        <v>0</v>
      </c>
      <c r="E45" s="22"/>
      <c r="F45" s="22"/>
      <c r="G45" s="90">
        <v>0</v>
      </c>
      <c r="H45" s="24">
        <v>25</v>
      </c>
      <c r="I45" s="25">
        <v>0</v>
      </c>
      <c r="J45" s="25">
        <v>0</v>
      </c>
      <c r="K45" s="91">
        <f t="shared" si="12"/>
        <v>25</v>
      </c>
      <c r="L45" s="27">
        <v>0</v>
      </c>
      <c r="M45" s="27">
        <v>0</v>
      </c>
      <c r="N45" s="28">
        <f t="shared" si="13"/>
        <v>25</v>
      </c>
    </row>
    <row r="46" spans="1:14" ht="38.25" x14ac:dyDescent="0.25">
      <c r="A46" s="87" t="s">
        <v>64</v>
      </c>
      <c r="B46" s="88" t="s">
        <v>65</v>
      </c>
      <c r="C46" s="89"/>
      <c r="D46" s="21">
        <v>0</v>
      </c>
      <c r="E46" s="22"/>
      <c r="F46" s="22"/>
      <c r="G46" s="90">
        <v>0</v>
      </c>
      <c r="H46" s="24">
        <v>30</v>
      </c>
      <c r="I46" s="25">
        <v>0</v>
      </c>
      <c r="J46" s="25">
        <v>0</v>
      </c>
      <c r="K46" s="91">
        <f t="shared" si="12"/>
        <v>30</v>
      </c>
      <c r="L46" s="27">
        <v>0</v>
      </c>
      <c r="M46" s="27">
        <v>0</v>
      </c>
      <c r="N46" s="28">
        <f t="shared" si="13"/>
        <v>30</v>
      </c>
    </row>
    <row r="47" spans="1:14" x14ac:dyDescent="0.25">
      <c r="A47" s="87" t="s">
        <v>66</v>
      </c>
      <c r="B47" s="88" t="s">
        <v>65</v>
      </c>
      <c r="C47" s="89"/>
      <c r="D47" s="21">
        <v>0</v>
      </c>
      <c r="E47" s="22"/>
      <c r="F47" s="22"/>
      <c r="G47" s="90">
        <v>0</v>
      </c>
      <c r="H47" s="24">
        <v>20</v>
      </c>
      <c r="I47" s="25">
        <v>0</v>
      </c>
      <c r="J47" s="25">
        <v>0</v>
      </c>
      <c r="K47" s="91">
        <f t="shared" si="12"/>
        <v>20</v>
      </c>
      <c r="L47" s="27">
        <v>0</v>
      </c>
      <c r="M47" s="27">
        <v>0</v>
      </c>
      <c r="N47" s="28">
        <f t="shared" si="13"/>
        <v>20</v>
      </c>
    </row>
    <row r="48" spans="1:14" x14ac:dyDescent="0.25">
      <c r="A48" s="92" t="s">
        <v>67</v>
      </c>
      <c r="B48" s="93" t="s">
        <v>50</v>
      </c>
      <c r="C48" s="94"/>
      <c r="D48" s="53">
        <v>0</v>
      </c>
      <c r="E48" s="23"/>
      <c r="F48" s="23"/>
      <c r="G48" s="86">
        <v>0</v>
      </c>
      <c r="H48" s="55">
        <v>10</v>
      </c>
      <c r="I48" s="56">
        <v>0</v>
      </c>
      <c r="J48" s="56">
        <v>0</v>
      </c>
      <c r="K48" s="91">
        <f t="shared" si="12"/>
        <v>10</v>
      </c>
      <c r="L48" s="27">
        <v>0</v>
      </c>
      <c r="M48" s="27">
        <v>0</v>
      </c>
      <c r="N48" s="28">
        <f t="shared" si="13"/>
        <v>10</v>
      </c>
    </row>
    <row r="49" spans="1:15" ht="25.5" x14ac:dyDescent="0.25">
      <c r="A49" s="87" t="s">
        <v>68</v>
      </c>
      <c r="B49" s="88" t="s">
        <v>69</v>
      </c>
      <c r="C49" s="89"/>
      <c r="D49" s="21">
        <v>0</v>
      </c>
      <c r="E49" s="22"/>
      <c r="F49" s="22"/>
      <c r="G49" s="90">
        <v>0</v>
      </c>
      <c r="H49" s="24">
        <v>50</v>
      </c>
      <c r="I49" s="25">
        <v>0</v>
      </c>
      <c r="J49" s="25">
        <v>0</v>
      </c>
      <c r="K49" s="91">
        <f t="shared" si="12"/>
        <v>50</v>
      </c>
      <c r="L49" s="27">
        <v>0</v>
      </c>
      <c r="M49" s="27">
        <v>0</v>
      </c>
      <c r="N49" s="28">
        <f t="shared" si="13"/>
        <v>50</v>
      </c>
    </row>
    <row r="50" spans="1:15" ht="25.5" x14ac:dyDescent="0.25">
      <c r="A50" s="87" t="s">
        <v>70</v>
      </c>
      <c r="B50" s="88" t="s">
        <v>65</v>
      </c>
      <c r="C50" s="89"/>
      <c r="D50" s="21">
        <v>0</v>
      </c>
      <c r="E50" s="22"/>
      <c r="F50" s="22"/>
      <c r="G50" s="90">
        <v>0</v>
      </c>
      <c r="H50" s="24">
        <v>13</v>
      </c>
      <c r="I50" s="25">
        <v>0</v>
      </c>
      <c r="J50" s="25">
        <v>0</v>
      </c>
      <c r="K50" s="91">
        <f t="shared" si="12"/>
        <v>13</v>
      </c>
      <c r="L50" s="27">
        <v>0</v>
      </c>
      <c r="M50" s="27">
        <v>0</v>
      </c>
      <c r="N50" s="28">
        <f t="shared" si="13"/>
        <v>13</v>
      </c>
    </row>
    <row r="51" spans="1:15" ht="40.5" customHeight="1" thickBot="1" x14ac:dyDescent="0.3">
      <c r="A51" s="95" t="s">
        <v>71</v>
      </c>
      <c r="B51" s="96" t="s">
        <v>56</v>
      </c>
      <c r="C51" s="97"/>
      <c r="D51" s="98">
        <v>0</v>
      </c>
      <c r="E51" s="99"/>
      <c r="F51" s="99"/>
      <c r="G51" s="100">
        <v>0</v>
      </c>
      <c r="H51" s="101">
        <v>35</v>
      </c>
      <c r="I51" s="69">
        <v>0</v>
      </c>
      <c r="J51" s="69">
        <v>0</v>
      </c>
      <c r="K51" s="91">
        <f t="shared" si="12"/>
        <v>35</v>
      </c>
      <c r="L51" s="34">
        <v>0</v>
      </c>
      <c r="M51" s="34">
        <v>0</v>
      </c>
      <c r="N51" s="28">
        <f t="shared" si="13"/>
        <v>35</v>
      </c>
    </row>
    <row r="52" spans="1:15" ht="15.75" thickBot="1" x14ac:dyDescent="0.3">
      <c r="A52" s="102" t="s">
        <v>72</v>
      </c>
      <c r="B52" s="103"/>
      <c r="C52" s="81">
        <f>C54+C55+C56+C57</f>
        <v>211403.21</v>
      </c>
      <c r="D52" s="81">
        <f>D54+D55+D56+D57</f>
        <v>218548</v>
      </c>
      <c r="E52" s="81">
        <f t="shared" ref="E52:M52" si="14">E54+E55+E56+E57</f>
        <v>8490.39</v>
      </c>
      <c r="F52" s="81">
        <f t="shared" si="14"/>
        <v>4985.58</v>
      </c>
      <c r="G52" s="81">
        <f t="shared" si="14"/>
        <v>232041.47</v>
      </c>
      <c r="H52" s="81">
        <f t="shared" si="14"/>
        <v>451</v>
      </c>
      <c r="I52" s="81">
        <f t="shared" si="14"/>
        <v>0</v>
      </c>
      <c r="J52" s="81">
        <f t="shared" si="14"/>
        <v>1047.56</v>
      </c>
      <c r="K52" s="81">
        <f t="shared" si="14"/>
        <v>233540.03</v>
      </c>
      <c r="L52" s="81">
        <f t="shared" si="14"/>
        <v>11351.12</v>
      </c>
      <c r="M52" s="81">
        <f t="shared" si="14"/>
        <v>0</v>
      </c>
      <c r="N52" s="83">
        <f>K52+L52+M52</f>
        <v>244891.15</v>
      </c>
    </row>
    <row r="53" spans="1:15" x14ac:dyDescent="0.25">
      <c r="A53" s="104" t="s">
        <v>30</v>
      </c>
      <c r="B53" s="93"/>
      <c r="C53" s="94"/>
      <c r="D53" s="53"/>
      <c r="E53" s="23"/>
      <c r="F53" s="23"/>
      <c r="G53" s="23"/>
      <c r="H53" s="55"/>
      <c r="I53" s="56"/>
      <c r="J53" s="56"/>
      <c r="K53" s="26"/>
      <c r="L53" s="57"/>
      <c r="M53" s="57"/>
      <c r="N53" s="58"/>
    </row>
    <row r="54" spans="1:15" x14ac:dyDescent="0.25">
      <c r="A54" s="105" t="s">
        <v>73</v>
      </c>
      <c r="B54" s="88"/>
      <c r="C54" s="89">
        <v>17513.71</v>
      </c>
      <c r="D54" s="21">
        <v>0</v>
      </c>
      <c r="E54" s="22">
        <f>1844.47+6690</f>
        <v>8534.4699999999993</v>
      </c>
      <c r="F54" s="22">
        <v>0</v>
      </c>
      <c r="G54" s="22">
        <f>D54+E54+F54</f>
        <v>8534.4699999999993</v>
      </c>
      <c r="H54" s="24">
        <v>0</v>
      </c>
      <c r="I54" s="25">
        <v>0</v>
      </c>
      <c r="J54" s="25">
        <v>1047.56</v>
      </c>
      <c r="K54" s="91">
        <f>G54+H54+I54+J54</f>
        <v>9582.0299999999988</v>
      </c>
      <c r="L54" s="27">
        <v>11386.12</v>
      </c>
      <c r="M54" s="27">
        <v>0</v>
      </c>
      <c r="N54" s="28">
        <f>K54+L54+M54</f>
        <v>20968.150000000001</v>
      </c>
    </row>
    <row r="55" spans="1:15" x14ac:dyDescent="0.25">
      <c r="A55" s="105" t="s">
        <v>74</v>
      </c>
      <c r="B55" s="88"/>
      <c r="C55" s="89">
        <v>1078.5</v>
      </c>
      <c r="D55" s="21">
        <v>1000</v>
      </c>
      <c r="E55" s="22">
        <v>5.92</v>
      </c>
      <c r="F55" s="22">
        <v>25.58</v>
      </c>
      <c r="G55" s="22">
        <f>D55+E55+F55+17.5</f>
        <v>1049</v>
      </c>
      <c r="H55" s="24">
        <v>0</v>
      </c>
      <c r="I55" s="25">
        <v>0</v>
      </c>
      <c r="J55" s="25">
        <v>0</v>
      </c>
      <c r="K55" s="91">
        <f t="shared" ref="K55:K57" si="15">G55+H55+I55+J55</f>
        <v>1049</v>
      </c>
      <c r="L55" s="27">
        <v>0</v>
      </c>
      <c r="M55" s="27">
        <v>0</v>
      </c>
      <c r="N55" s="28">
        <f t="shared" ref="N55:N57" si="16">K55+L55+M55</f>
        <v>1049</v>
      </c>
    </row>
    <row r="56" spans="1:15" x14ac:dyDescent="0.25">
      <c r="A56" s="104" t="s">
        <v>75</v>
      </c>
      <c r="B56" s="93"/>
      <c r="C56" s="94">
        <v>4765</v>
      </c>
      <c r="D56" s="53">
        <v>6318</v>
      </c>
      <c r="E56" s="23">
        <v>0</v>
      </c>
      <c r="F56" s="23">
        <v>0</v>
      </c>
      <c r="G56" s="22">
        <f t="shared" ref="G56:G57" si="17">D56+E56+F56</f>
        <v>6318</v>
      </c>
      <c r="H56" s="24">
        <v>0</v>
      </c>
      <c r="I56" s="25">
        <v>0</v>
      </c>
      <c r="J56" s="25">
        <v>0</v>
      </c>
      <c r="K56" s="91">
        <f>6283+35</f>
        <v>6318</v>
      </c>
      <c r="L56" s="27">
        <v>-35</v>
      </c>
      <c r="M56" s="27">
        <v>0</v>
      </c>
      <c r="N56" s="28">
        <f t="shared" si="16"/>
        <v>6283</v>
      </c>
    </row>
    <row r="57" spans="1:15" ht="15.75" thickBot="1" x14ac:dyDescent="0.3">
      <c r="A57" s="106" t="s">
        <v>76</v>
      </c>
      <c r="B57" s="107"/>
      <c r="C57" s="108">
        <v>188046</v>
      </c>
      <c r="D57" s="30">
        <v>211230</v>
      </c>
      <c r="E57" s="31">
        <v>-50</v>
      </c>
      <c r="F57" s="31">
        <v>4960</v>
      </c>
      <c r="G57" s="22">
        <f t="shared" si="17"/>
        <v>216140</v>
      </c>
      <c r="H57" s="32">
        <v>451</v>
      </c>
      <c r="I57" s="33">
        <v>0</v>
      </c>
      <c r="J57" s="33">
        <v>0</v>
      </c>
      <c r="K57" s="91">
        <f t="shared" si="15"/>
        <v>216591</v>
      </c>
      <c r="L57" s="34">
        <v>0</v>
      </c>
      <c r="M57" s="34">
        <v>0</v>
      </c>
      <c r="N57" s="28">
        <f t="shared" si="16"/>
        <v>216591</v>
      </c>
      <c r="O57" s="39"/>
    </row>
    <row r="58" spans="1:15" ht="15.75" thickBot="1" x14ac:dyDescent="0.3">
      <c r="A58" s="80" t="s">
        <v>77</v>
      </c>
      <c r="B58" s="109"/>
      <c r="C58" s="81">
        <f>C60+C61+C62+C64</f>
        <v>35826.839999999997</v>
      </c>
      <c r="D58" s="81">
        <f>SUM(D60:D64)</f>
        <v>34889.32</v>
      </c>
      <c r="E58" s="81">
        <f t="shared" ref="E58:J58" si="18">SUM(E60:E64)</f>
        <v>340.43</v>
      </c>
      <c r="F58" s="81">
        <f t="shared" si="18"/>
        <v>3.0000000000001137E-2</v>
      </c>
      <c r="G58" s="81">
        <f t="shared" si="18"/>
        <v>35229.78</v>
      </c>
      <c r="H58" s="81">
        <f t="shared" si="18"/>
        <v>-502.86</v>
      </c>
      <c r="I58" s="81">
        <f t="shared" si="18"/>
        <v>-500</v>
      </c>
      <c r="J58" s="81">
        <f t="shared" si="18"/>
        <v>0</v>
      </c>
      <c r="K58" s="110">
        <f>K60+K61+K62+K63+K64</f>
        <v>34226.92</v>
      </c>
      <c r="L58" s="110">
        <f t="shared" ref="L58:M58" si="19">L60+L61+L62+L63+L64</f>
        <v>0</v>
      </c>
      <c r="M58" s="110">
        <f t="shared" si="19"/>
        <v>-369.32</v>
      </c>
      <c r="N58" s="111">
        <f>K58+L58+M58</f>
        <v>33857.599999999999</v>
      </c>
      <c r="O58" s="39"/>
    </row>
    <row r="59" spans="1:15" x14ac:dyDescent="0.25">
      <c r="A59" s="104" t="s">
        <v>30</v>
      </c>
      <c r="B59" s="93"/>
      <c r="C59" s="94"/>
      <c r="D59" s="53"/>
      <c r="E59" s="23"/>
      <c r="F59" s="23"/>
      <c r="G59" s="23"/>
      <c r="H59" s="55"/>
      <c r="I59" s="56"/>
      <c r="J59" s="56"/>
      <c r="K59" s="26"/>
      <c r="L59" s="57"/>
      <c r="M59" s="57"/>
      <c r="N59" s="58"/>
    </row>
    <row r="60" spans="1:15" x14ac:dyDescent="0.25">
      <c r="A60" s="105" t="s">
        <v>78</v>
      </c>
      <c r="B60" s="88" t="s">
        <v>79</v>
      </c>
      <c r="C60" s="89">
        <v>10500</v>
      </c>
      <c r="D60" s="21">
        <v>10500</v>
      </c>
      <c r="E60" s="22">
        <v>0</v>
      </c>
      <c r="F60" s="22">
        <v>0</v>
      </c>
      <c r="G60" s="22">
        <f>D60+E60+F60</f>
        <v>10500</v>
      </c>
      <c r="H60" s="24">
        <v>0</v>
      </c>
      <c r="I60" s="25">
        <v>0</v>
      </c>
      <c r="J60" s="25">
        <v>0</v>
      </c>
      <c r="K60" s="91">
        <f>G60+H60+I60+J60</f>
        <v>10500</v>
      </c>
      <c r="L60" s="27">
        <v>0</v>
      </c>
      <c r="M60" s="27">
        <v>0</v>
      </c>
      <c r="N60" s="28">
        <f>K60+L60+M60</f>
        <v>10500</v>
      </c>
    </row>
    <row r="61" spans="1:15" x14ac:dyDescent="0.25">
      <c r="A61" s="105" t="s">
        <v>80</v>
      </c>
      <c r="B61" s="88"/>
      <c r="C61" s="89">
        <v>1766.27</v>
      </c>
      <c r="D61" s="21">
        <v>2000</v>
      </c>
      <c r="E61" s="22">
        <v>0</v>
      </c>
      <c r="F61" s="22">
        <v>-19.97</v>
      </c>
      <c r="G61" s="22">
        <f t="shared" ref="G61:G64" si="20">D61+E61+F61</f>
        <v>1980.03</v>
      </c>
      <c r="H61" s="24">
        <f>28.06-430</f>
        <v>-401.94</v>
      </c>
      <c r="I61" s="25">
        <v>-500</v>
      </c>
      <c r="J61" s="25">
        <v>0</v>
      </c>
      <c r="K61" s="91">
        <f t="shared" ref="K61:K64" si="21">G61+H61+I61+J61</f>
        <v>1078.0899999999999</v>
      </c>
      <c r="L61" s="27">
        <v>0</v>
      </c>
      <c r="M61" s="27">
        <f>-169.32-200</f>
        <v>-369.32</v>
      </c>
      <c r="N61" s="28">
        <f t="shared" ref="N61:N64" si="22">K61+L61+M61</f>
        <v>708.77</v>
      </c>
    </row>
    <row r="62" spans="1:15" x14ac:dyDescent="0.25">
      <c r="A62" s="105" t="s">
        <v>81</v>
      </c>
      <c r="B62" s="88"/>
      <c r="C62" s="89">
        <v>200</v>
      </c>
      <c r="D62" s="21">
        <v>200</v>
      </c>
      <c r="E62" s="22">
        <v>0</v>
      </c>
      <c r="F62" s="22">
        <v>0</v>
      </c>
      <c r="G62" s="22">
        <f t="shared" si="20"/>
        <v>200</v>
      </c>
      <c r="H62" s="24">
        <v>0</v>
      </c>
      <c r="I62" s="25">
        <v>0</v>
      </c>
      <c r="J62" s="25">
        <v>0</v>
      </c>
      <c r="K62" s="91">
        <f t="shared" si="21"/>
        <v>200</v>
      </c>
      <c r="L62" s="27">
        <v>0</v>
      </c>
      <c r="M62" s="27">
        <v>0</v>
      </c>
      <c r="N62" s="28">
        <f t="shared" si="22"/>
        <v>200</v>
      </c>
    </row>
    <row r="63" spans="1:15" ht="25.5" x14ac:dyDescent="0.25">
      <c r="A63" s="106" t="s">
        <v>82</v>
      </c>
      <c r="B63" s="107" t="s">
        <v>69</v>
      </c>
      <c r="C63" s="108"/>
      <c r="D63" s="30">
        <v>0</v>
      </c>
      <c r="E63" s="31">
        <v>0</v>
      </c>
      <c r="F63" s="31">
        <v>20</v>
      </c>
      <c r="G63" s="22">
        <f t="shared" si="20"/>
        <v>20</v>
      </c>
      <c r="H63" s="24">
        <v>0</v>
      </c>
      <c r="I63" s="25">
        <v>0</v>
      </c>
      <c r="J63" s="25">
        <v>0</v>
      </c>
      <c r="K63" s="91">
        <f t="shared" si="21"/>
        <v>20</v>
      </c>
      <c r="L63" s="27">
        <v>0</v>
      </c>
      <c r="M63" s="27">
        <v>0</v>
      </c>
      <c r="N63" s="28">
        <f t="shared" si="22"/>
        <v>20</v>
      </c>
    </row>
    <row r="64" spans="1:15" ht="15.75" thickBot="1" x14ac:dyDescent="0.3">
      <c r="A64" s="106" t="s">
        <v>83</v>
      </c>
      <c r="B64" s="107"/>
      <c r="C64" s="108">
        <v>23360.57</v>
      </c>
      <c r="D64" s="30">
        <v>22189.32</v>
      </c>
      <c r="E64" s="31">
        <f>340.39+0.04</f>
        <v>340.43</v>
      </c>
      <c r="F64" s="31">
        <v>0</v>
      </c>
      <c r="G64" s="22">
        <f t="shared" si="20"/>
        <v>22529.75</v>
      </c>
      <c r="H64" s="32">
        <v>-100.92</v>
      </c>
      <c r="I64" s="33">
        <v>0</v>
      </c>
      <c r="J64" s="33">
        <v>0</v>
      </c>
      <c r="K64" s="91">
        <f t="shared" si="21"/>
        <v>22428.83</v>
      </c>
      <c r="L64" s="34">
        <v>0</v>
      </c>
      <c r="M64" s="34">
        <v>0</v>
      </c>
      <c r="N64" s="28">
        <f t="shared" si="22"/>
        <v>22428.83</v>
      </c>
    </row>
    <row r="65" spans="1:15" ht="15.75" thickBot="1" x14ac:dyDescent="0.3">
      <c r="A65" s="80" t="s">
        <v>84</v>
      </c>
      <c r="B65" s="103"/>
      <c r="C65" s="81">
        <f>C67+C68+C69+C70</f>
        <v>104053.15000000001</v>
      </c>
      <c r="D65" s="81">
        <f>D67+D68+D69+D70</f>
        <v>100576.47</v>
      </c>
      <c r="E65" s="81">
        <f t="shared" ref="E65:J65" si="23">E67+E68+E69+E70</f>
        <v>-77.099999999999909</v>
      </c>
      <c r="F65" s="81">
        <f t="shared" si="23"/>
        <v>12157.1</v>
      </c>
      <c r="G65" s="81">
        <f t="shared" si="23"/>
        <v>112497.57</v>
      </c>
      <c r="H65" s="81">
        <f t="shared" si="23"/>
        <v>1137</v>
      </c>
      <c r="I65" s="81">
        <f t="shared" si="23"/>
        <v>0</v>
      </c>
      <c r="J65" s="81">
        <f t="shared" si="23"/>
        <v>261.2</v>
      </c>
      <c r="K65" s="110">
        <f>G65+H65+I65+J65</f>
        <v>113895.77</v>
      </c>
      <c r="L65" s="112">
        <f>L67+L68+L69+L70</f>
        <v>-904.06000000000006</v>
      </c>
      <c r="M65" s="112">
        <f t="shared" ref="M65:N65" si="24">M67+M68+M69+M70</f>
        <v>7658</v>
      </c>
      <c r="N65" s="111">
        <f t="shared" si="24"/>
        <v>120649.70999999999</v>
      </c>
      <c r="O65" s="39"/>
    </row>
    <row r="66" spans="1:15" x14ac:dyDescent="0.25">
      <c r="A66" s="113" t="s">
        <v>30</v>
      </c>
      <c r="B66" s="114"/>
      <c r="C66" s="115"/>
      <c r="D66" s="13"/>
      <c r="E66" s="14"/>
      <c r="F66" s="14"/>
      <c r="G66" s="14"/>
      <c r="H66" s="15"/>
      <c r="I66" s="16"/>
      <c r="J66" s="16"/>
      <c r="K66" s="17"/>
      <c r="L66" s="18"/>
      <c r="M66" s="18"/>
      <c r="N66" s="19"/>
    </row>
    <row r="67" spans="1:15" x14ac:dyDescent="0.25">
      <c r="A67" s="105" t="s">
        <v>85</v>
      </c>
      <c r="B67" s="88"/>
      <c r="C67" s="116">
        <v>1</v>
      </c>
      <c r="D67" s="24">
        <v>401</v>
      </c>
      <c r="E67" s="25">
        <v>0</v>
      </c>
      <c r="F67" s="25">
        <v>0</v>
      </c>
      <c r="G67" s="25">
        <f>D67+E67+F67</f>
        <v>401</v>
      </c>
      <c r="H67" s="24">
        <v>-400</v>
      </c>
      <c r="I67" s="25">
        <v>0</v>
      </c>
      <c r="J67" s="25">
        <v>0</v>
      </c>
      <c r="K67" s="91">
        <f>G67+H67+I67+J67</f>
        <v>1</v>
      </c>
      <c r="L67" s="27">
        <v>0</v>
      </c>
      <c r="M67" s="27">
        <v>0</v>
      </c>
      <c r="N67" s="28">
        <f>K67+L67+M67</f>
        <v>1</v>
      </c>
    </row>
    <row r="68" spans="1:15" ht="40.5" customHeight="1" x14ac:dyDescent="0.25">
      <c r="A68" s="105" t="s">
        <v>86</v>
      </c>
      <c r="B68" s="88"/>
      <c r="C68" s="21">
        <v>267.05</v>
      </c>
      <c r="D68" s="21">
        <v>147.47</v>
      </c>
      <c r="E68" s="22">
        <v>0</v>
      </c>
      <c r="F68" s="22">
        <v>0</v>
      </c>
      <c r="G68" s="25">
        <f t="shared" ref="G68" si="25">D68+E68+F68</f>
        <v>147.47</v>
      </c>
      <c r="H68" s="24">
        <v>0</v>
      </c>
      <c r="I68" s="25">
        <v>0</v>
      </c>
      <c r="J68" s="25">
        <v>0</v>
      </c>
      <c r="K68" s="91">
        <f t="shared" ref="K68:K70" si="26">G68+H68+I68+J68</f>
        <v>147.47</v>
      </c>
      <c r="L68" s="27">
        <v>0</v>
      </c>
      <c r="M68" s="27">
        <v>0</v>
      </c>
      <c r="N68" s="28">
        <f t="shared" ref="N68:N70" si="27">K68+L68+M68</f>
        <v>147.47</v>
      </c>
    </row>
    <row r="69" spans="1:15" x14ac:dyDescent="0.25">
      <c r="A69" s="105" t="s">
        <v>74</v>
      </c>
      <c r="B69" s="88"/>
      <c r="C69" s="21">
        <v>32988</v>
      </c>
      <c r="D69" s="21">
        <v>30547</v>
      </c>
      <c r="E69" s="22">
        <f>-331-119-175-125-32.3</f>
        <v>-782.3</v>
      </c>
      <c r="F69" s="22">
        <v>10419</v>
      </c>
      <c r="G69" s="25">
        <f>D69+E69+F69+82.5+267.6</f>
        <v>40533.799999999996</v>
      </c>
      <c r="H69" s="24">
        <v>557</v>
      </c>
      <c r="I69" s="25">
        <v>0</v>
      </c>
      <c r="J69" s="25">
        <v>228.2</v>
      </c>
      <c r="K69" s="91">
        <f t="shared" si="26"/>
        <v>41318.999999999993</v>
      </c>
      <c r="L69" s="27">
        <f>609.51+26-518.42+480</f>
        <v>597.09</v>
      </c>
      <c r="M69" s="27">
        <v>7450</v>
      </c>
      <c r="N69" s="28">
        <f t="shared" si="27"/>
        <v>49366.089999999989</v>
      </c>
    </row>
    <row r="70" spans="1:15" ht="25.5" customHeight="1" thickBot="1" x14ac:dyDescent="0.3">
      <c r="A70" s="117" t="s">
        <v>87</v>
      </c>
      <c r="B70" s="118"/>
      <c r="C70" s="41">
        <v>70797.100000000006</v>
      </c>
      <c r="D70" s="41">
        <v>69481</v>
      </c>
      <c r="E70" s="42">
        <f>23.2+119+329+140+94</f>
        <v>705.2</v>
      </c>
      <c r="F70" s="42">
        <f>1738.1</f>
        <v>1738.1</v>
      </c>
      <c r="G70" s="56">
        <f>D70+E70+F70-509</f>
        <v>71415.3</v>
      </c>
      <c r="H70" s="32">
        <v>980</v>
      </c>
      <c r="I70" s="33">
        <v>0</v>
      </c>
      <c r="J70" s="33">
        <v>33</v>
      </c>
      <c r="K70" s="91">
        <f t="shared" si="26"/>
        <v>72428.3</v>
      </c>
      <c r="L70" s="34">
        <f>-1242-178.99-80.16</f>
        <v>-1501.15</v>
      </c>
      <c r="M70" s="34">
        <v>208</v>
      </c>
      <c r="N70" s="28">
        <f t="shared" si="27"/>
        <v>71135.150000000009</v>
      </c>
    </row>
    <row r="71" spans="1:15" ht="15.75" thickBot="1" x14ac:dyDescent="0.3">
      <c r="A71" s="80" t="s">
        <v>88</v>
      </c>
      <c r="B71" s="109"/>
      <c r="C71" s="81">
        <f>C73+C75</f>
        <v>1497.8</v>
      </c>
      <c r="D71" s="81">
        <f>SUM(D73:D75)</f>
        <v>1472</v>
      </c>
      <c r="E71" s="81">
        <f t="shared" ref="E71:J71" si="28">SUM(E73:E75)</f>
        <v>0</v>
      </c>
      <c r="F71" s="81">
        <f t="shared" si="28"/>
        <v>220</v>
      </c>
      <c r="G71" s="81">
        <f t="shared" si="28"/>
        <v>1692</v>
      </c>
      <c r="H71" s="81">
        <f t="shared" si="28"/>
        <v>0</v>
      </c>
      <c r="I71" s="81">
        <f t="shared" si="28"/>
        <v>0</v>
      </c>
      <c r="J71" s="81">
        <f t="shared" si="28"/>
        <v>0</v>
      </c>
      <c r="K71" s="110">
        <f>K73+K74+K75</f>
        <v>1692</v>
      </c>
      <c r="L71" s="110">
        <f t="shared" ref="L71:N71" si="29">L73+L74+L75</f>
        <v>0</v>
      </c>
      <c r="M71" s="110">
        <f t="shared" si="29"/>
        <v>0</v>
      </c>
      <c r="N71" s="111">
        <f t="shared" si="29"/>
        <v>1692</v>
      </c>
    </row>
    <row r="72" spans="1:15" x14ac:dyDescent="0.25">
      <c r="A72" s="119" t="s">
        <v>30</v>
      </c>
      <c r="B72" s="93"/>
      <c r="C72" s="53"/>
      <c r="D72" s="53"/>
      <c r="E72" s="23"/>
      <c r="F72" s="23"/>
      <c r="G72" s="23"/>
      <c r="H72" s="55"/>
      <c r="I72" s="56"/>
      <c r="J72" s="56"/>
      <c r="K72" s="26"/>
      <c r="L72" s="57"/>
      <c r="M72" s="57"/>
      <c r="N72" s="58"/>
    </row>
    <row r="73" spans="1:15" ht="25.5" customHeight="1" x14ac:dyDescent="0.25">
      <c r="A73" s="20" t="s">
        <v>89</v>
      </c>
      <c r="B73" s="88" t="s">
        <v>79</v>
      </c>
      <c r="C73" s="21">
        <v>15</v>
      </c>
      <c r="D73" s="21">
        <v>15</v>
      </c>
      <c r="E73" s="22">
        <v>0</v>
      </c>
      <c r="F73" s="22">
        <v>0</v>
      </c>
      <c r="G73" s="22">
        <f>D73+E73+F73</f>
        <v>15</v>
      </c>
      <c r="H73" s="24">
        <v>0</v>
      </c>
      <c r="I73" s="25">
        <v>0</v>
      </c>
      <c r="J73" s="25">
        <v>0</v>
      </c>
      <c r="K73" s="91">
        <f>G73+H73+I73+J73</f>
        <v>15</v>
      </c>
      <c r="L73" s="27">
        <v>0</v>
      </c>
      <c r="M73" s="27">
        <v>0</v>
      </c>
      <c r="N73" s="28">
        <f>K73+L73+M73</f>
        <v>15</v>
      </c>
    </row>
    <row r="74" spans="1:15" x14ac:dyDescent="0.25">
      <c r="A74" s="120" t="s">
        <v>74</v>
      </c>
      <c r="B74" s="107"/>
      <c r="C74" s="30"/>
      <c r="D74" s="30">
        <v>200</v>
      </c>
      <c r="E74" s="31">
        <v>0</v>
      </c>
      <c r="F74" s="31">
        <v>94</v>
      </c>
      <c r="G74" s="22">
        <f>D74+E74+F74</f>
        <v>294</v>
      </c>
      <c r="H74" s="24">
        <v>0</v>
      </c>
      <c r="I74" s="25">
        <v>0</v>
      </c>
      <c r="J74" s="25">
        <v>0</v>
      </c>
      <c r="K74" s="91">
        <f t="shared" ref="K74:K75" si="30">G74+H74+I74+J74</f>
        <v>294</v>
      </c>
      <c r="L74" s="27">
        <v>0</v>
      </c>
      <c r="M74" s="27">
        <v>0</v>
      </c>
      <c r="N74" s="28">
        <f t="shared" ref="N74:N75" si="31">K74+L74+M74</f>
        <v>294</v>
      </c>
    </row>
    <row r="75" spans="1:15" ht="15.75" thickBot="1" x14ac:dyDescent="0.3">
      <c r="A75" s="120" t="s">
        <v>90</v>
      </c>
      <c r="B75" s="107"/>
      <c r="C75" s="30">
        <v>1482.8</v>
      </c>
      <c r="D75" s="30">
        <v>1257</v>
      </c>
      <c r="E75" s="31">
        <v>0</v>
      </c>
      <c r="F75" s="31">
        <v>126</v>
      </c>
      <c r="G75" s="31">
        <f>D75+E75+F75</f>
        <v>1383</v>
      </c>
      <c r="H75" s="32">
        <v>0</v>
      </c>
      <c r="I75" s="33">
        <v>0</v>
      </c>
      <c r="J75" s="33">
        <v>0</v>
      </c>
      <c r="K75" s="91">
        <f t="shared" si="30"/>
        <v>1383</v>
      </c>
      <c r="L75" s="34">
        <v>0</v>
      </c>
      <c r="M75" s="34">
        <v>0</v>
      </c>
      <c r="N75" s="28">
        <f t="shared" si="31"/>
        <v>1383</v>
      </c>
    </row>
    <row r="76" spans="1:15" ht="15.75" thickBot="1" x14ac:dyDescent="0.3">
      <c r="A76" s="121" t="s">
        <v>91</v>
      </c>
      <c r="B76" s="109"/>
      <c r="C76" s="81">
        <f>SUM(C78:C257)</f>
        <v>137490.01</v>
      </c>
      <c r="D76" s="81">
        <f>SUM(D78:D257)</f>
        <v>155203</v>
      </c>
      <c r="E76" s="81">
        <f>SUM(E78:E257)</f>
        <v>3394.1999999999994</v>
      </c>
      <c r="F76" s="81">
        <f>SUM(F78:F257)</f>
        <v>2146.63</v>
      </c>
      <c r="G76" s="81">
        <f>SUM(G78:G257)</f>
        <v>161911.83000000002</v>
      </c>
      <c r="H76" s="81">
        <f>SUM(H78:H257)</f>
        <v>3910.0400000000009</v>
      </c>
      <c r="I76" s="81">
        <f>SUM(I78:I257)</f>
        <v>0</v>
      </c>
      <c r="J76" s="81">
        <f>SUM(J78:J257)</f>
        <v>-440</v>
      </c>
      <c r="K76" s="122">
        <f>SUM(K78:K257)</f>
        <v>165381.87</v>
      </c>
      <c r="L76" s="122">
        <f>SUM(L78:L257)</f>
        <v>1160.82</v>
      </c>
      <c r="M76" s="122">
        <f>SUM(M78:M257)</f>
        <v>4994.5</v>
      </c>
      <c r="N76" s="123">
        <f>SUM(N78:N257)-108</f>
        <v>171429.19</v>
      </c>
      <c r="O76" s="39"/>
    </row>
    <row r="77" spans="1:15" x14ac:dyDescent="0.25">
      <c r="A77" s="124" t="s">
        <v>30</v>
      </c>
      <c r="B77" s="93"/>
      <c r="C77" s="53"/>
      <c r="D77" s="53"/>
      <c r="E77" s="23"/>
      <c r="F77" s="23"/>
      <c r="G77" s="23"/>
      <c r="H77" s="55"/>
      <c r="I77" s="56"/>
      <c r="J77" s="56"/>
      <c r="K77" s="26"/>
      <c r="L77" s="57"/>
      <c r="M77" s="57"/>
      <c r="N77" s="58"/>
      <c r="O77" s="39"/>
    </row>
    <row r="78" spans="1:15" x14ac:dyDescent="0.25">
      <c r="A78" s="125" t="s">
        <v>92</v>
      </c>
      <c r="B78" s="88"/>
      <c r="C78" s="21">
        <v>0</v>
      </c>
      <c r="D78" s="21">
        <v>0</v>
      </c>
      <c r="E78" s="22">
        <v>0</v>
      </c>
      <c r="F78" s="22">
        <v>0</v>
      </c>
      <c r="G78" s="22">
        <f>D78+E78+F78</f>
        <v>0</v>
      </c>
      <c r="H78" s="24">
        <v>0</v>
      </c>
      <c r="I78" s="25">
        <v>0</v>
      </c>
      <c r="J78" s="25">
        <v>0</v>
      </c>
      <c r="K78" s="91">
        <f>G78+H78+I78+J78</f>
        <v>0</v>
      </c>
      <c r="L78" s="27">
        <v>108</v>
      </c>
      <c r="M78" s="27">
        <v>0</v>
      </c>
      <c r="N78" s="28">
        <f>K78+L78+M78</f>
        <v>108</v>
      </c>
    </row>
    <row r="79" spans="1:15" ht="33" customHeight="1" x14ac:dyDescent="0.25">
      <c r="A79" s="204" t="s">
        <v>472</v>
      </c>
      <c r="B79" s="205" t="s">
        <v>79</v>
      </c>
      <c r="C79" s="206"/>
      <c r="D79" s="206">
        <v>0</v>
      </c>
      <c r="E79" s="207"/>
      <c r="F79" s="207"/>
      <c r="G79" s="207"/>
      <c r="H79" s="208"/>
      <c r="I79" s="202"/>
      <c r="J79" s="202"/>
      <c r="K79" s="202">
        <v>0</v>
      </c>
      <c r="L79" s="208">
        <v>108</v>
      </c>
      <c r="M79" s="208">
        <v>0</v>
      </c>
      <c r="N79" s="203">
        <f>K79+L79+M79</f>
        <v>108</v>
      </c>
    </row>
    <row r="80" spans="1:15" x14ac:dyDescent="0.25">
      <c r="A80" s="125" t="s">
        <v>74</v>
      </c>
      <c r="B80" s="88"/>
      <c r="C80" s="21">
        <v>2300</v>
      </c>
      <c r="D80" s="21">
        <v>1950</v>
      </c>
      <c r="E80" s="22">
        <v>-270</v>
      </c>
      <c r="F80" s="22">
        <v>1350</v>
      </c>
      <c r="G80" s="22">
        <f>D80+E80+F80+185</f>
        <v>3215</v>
      </c>
      <c r="H80" s="24">
        <v>-450</v>
      </c>
      <c r="I80" s="25">
        <v>0</v>
      </c>
      <c r="J80" s="25">
        <v>-190</v>
      </c>
      <c r="K80" s="91">
        <f t="shared" ref="K80:K154" si="32">G80+H80+I80+J80</f>
        <v>2575</v>
      </c>
      <c r="L80" s="27">
        <v>0</v>
      </c>
      <c r="M80" s="27">
        <v>200</v>
      </c>
      <c r="N80" s="28">
        <f t="shared" ref="N80:N154" si="33">K80+L80+M80</f>
        <v>2775</v>
      </c>
    </row>
    <row r="81" spans="1:14" ht="25.5" customHeight="1" x14ac:dyDescent="0.25">
      <c r="A81" s="20" t="s">
        <v>93</v>
      </c>
      <c r="B81" s="88" t="s">
        <v>94</v>
      </c>
      <c r="C81" s="21">
        <v>1400</v>
      </c>
      <c r="D81" s="21">
        <v>1400</v>
      </c>
      <c r="E81" s="22">
        <v>0</v>
      </c>
      <c r="F81" s="22">
        <v>0</v>
      </c>
      <c r="G81" s="22">
        <f t="shared" ref="G81:G233" si="34">D81+E81+F81</f>
        <v>1400</v>
      </c>
      <c r="H81" s="24">
        <v>0</v>
      </c>
      <c r="I81" s="25">
        <v>0</v>
      </c>
      <c r="J81" s="25">
        <v>0</v>
      </c>
      <c r="K81" s="91">
        <f t="shared" si="32"/>
        <v>1400</v>
      </c>
      <c r="L81" s="27">
        <v>0</v>
      </c>
      <c r="M81" s="27">
        <v>-16</v>
      </c>
      <c r="N81" s="28">
        <f t="shared" si="33"/>
        <v>1384</v>
      </c>
    </row>
    <row r="82" spans="1:14" ht="25.5" customHeight="1" x14ac:dyDescent="0.25">
      <c r="A82" s="20" t="s">
        <v>95</v>
      </c>
      <c r="B82" s="88" t="s">
        <v>96</v>
      </c>
      <c r="C82" s="21">
        <v>1262</v>
      </c>
      <c r="D82" s="21">
        <v>1500</v>
      </c>
      <c r="E82" s="22">
        <v>0</v>
      </c>
      <c r="F82" s="22">
        <v>0</v>
      </c>
      <c r="G82" s="22">
        <f t="shared" si="34"/>
        <v>1500</v>
      </c>
      <c r="H82" s="24">
        <v>0</v>
      </c>
      <c r="I82" s="25">
        <v>0</v>
      </c>
      <c r="J82" s="25">
        <v>0</v>
      </c>
      <c r="K82" s="91">
        <f t="shared" si="32"/>
        <v>1500</v>
      </c>
      <c r="L82" s="27">
        <v>0</v>
      </c>
      <c r="M82" s="27">
        <v>0</v>
      </c>
      <c r="N82" s="28">
        <f t="shared" si="33"/>
        <v>1500</v>
      </c>
    </row>
    <row r="83" spans="1:14" ht="25.5" customHeight="1" x14ac:dyDescent="0.25">
      <c r="A83" s="20" t="s">
        <v>97</v>
      </c>
      <c r="B83" s="88" t="s">
        <v>98</v>
      </c>
      <c r="C83" s="21">
        <v>600</v>
      </c>
      <c r="D83" s="21">
        <v>600</v>
      </c>
      <c r="E83" s="22">
        <v>0</v>
      </c>
      <c r="F83" s="22">
        <v>0</v>
      </c>
      <c r="G83" s="22">
        <f t="shared" si="34"/>
        <v>600</v>
      </c>
      <c r="H83" s="24">
        <v>0</v>
      </c>
      <c r="I83" s="25">
        <v>0</v>
      </c>
      <c r="J83" s="25">
        <v>0</v>
      </c>
      <c r="K83" s="91">
        <f t="shared" si="32"/>
        <v>600</v>
      </c>
      <c r="L83" s="27">
        <v>0</v>
      </c>
      <c r="M83" s="27">
        <v>0</v>
      </c>
      <c r="N83" s="28">
        <f t="shared" si="33"/>
        <v>600</v>
      </c>
    </row>
    <row r="84" spans="1:14" x14ac:dyDescent="0.25">
      <c r="A84" s="125" t="s">
        <v>99</v>
      </c>
      <c r="B84" s="88" t="s">
        <v>100</v>
      </c>
      <c r="C84" s="21">
        <v>30500</v>
      </c>
      <c r="D84" s="21">
        <v>30400</v>
      </c>
      <c r="E84" s="22">
        <v>0</v>
      </c>
      <c r="F84" s="22">
        <v>0</v>
      </c>
      <c r="G84" s="22">
        <f t="shared" si="34"/>
        <v>30400</v>
      </c>
      <c r="H84" s="24">
        <v>200</v>
      </c>
      <c r="I84" s="25">
        <v>0</v>
      </c>
      <c r="J84" s="25">
        <v>0</v>
      </c>
      <c r="K84" s="91">
        <f t="shared" si="32"/>
        <v>30600</v>
      </c>
      <c r="L84" s="27">
        <v>0</v>
      </c>
      <c r="M84" s="27">
        <v>200</v>
      </c>
      <c r="N84" s="28">
        <f t="shared" si="33"/>
        <v>30800</v>
      </c>
    </row>
    <row r="85" spans="1:14" x14ac:dyDescent="0.25">
      <c r="A85" s="125" t="s">
        <v>101</v>
      </c>
      <c r="B85" s="88" t="s">
        <v>79</v>
      </c>
      <c r="C85" s="21">
        <v>750.5</v>
      </c>
      <c r="D85" s="21">
        <v>755</v>
      </c>
      <c r="E85" s="22">
        <v>0</v>
      </c>
      <c r="F85" s="22">
        <v>9</v>
      </c>
      <c r="G85" s="22">
        <f t="shared" si="34"/>
        <v>764</v>
      </c>
      <c r="H85" s="24">
        <v>0</v>
      </c>
      <c r="I85" s="25">
        <v>0</v>
      </c>
      <c r="J85" s="25">
        <v>0</v>
      </c>
      <c r="K85" s="91">
        <f t="shared" si="32"/>
        <v>764</v>
      </c>
      <c r="L85" s="27">
        <v>0</v>
      </c>
      <c r="M85" s="27">
        <v>0</v>
      </c>
      <c r="N85" s="28">
        <f t="shared" si="33"/>
        <v>764</v>
      </c>
    </row>
    <row r="86" spans="1:14" x14ac:dyDescent="0.25">
      <c r="A86" s="124" t="s">
        <v>473</v>
      </c>
      <c r="B86" s="88" t="s">
        <v>199</v>
      </c>
      <c r="C86" s="53"/>
      <c r="D86" s="53">
        <v>0</v>
      </c>
      <c r="E86" s="23"/>
      <c r="F86" s="23"/>
      <c r="G86" s="22"/>
      <c r="H86" s="24"/>
      <c r="I86" s="25"/>
      <c r="J86" s="25"/>
      <c r="K86" s="91">
        <v>0</v>
      </c>
      <c r="L86" s="27">
        <v>54.19</v>
      </c>
      <c r="M86" s="27">
        <v>0</v>
      </c>
      <c r="N86" s="28">
        <f t="shared" si="33"/>
        <v>54.19</v>
      </c>
    </row>
    <row r="87" spans="1:14" x14ac:dyDescent="0.25">
      <c r="A87" s="124" t="s">
        <v>102</v>
      </c>
      <c r="B87" s="88" t="s">
        <v>79</v>
      </c>
      <c r="C87" s="53">
        <v>1736</v>
      </c>
      <c r="D87" s="53">
        <v>1760</v>
      </c>
      <c r="E87" s="23">
        <v>0</v>
      </c>
      <c r="F87" s="23">
        <v>48</v>
      </c>
      <c r="G87" s="22">
        <f t="shared" si="34"/>
        <v>1808</v>
      </c>
      <c r="H87" s="24">
        <v>10</v>
      </c>
      <c r="I87" s="25">
        <v>0</v>
      </c>
      <c r="J87" s="25">
        <v>0</v>
      </c>
      <c r="K87" s="91">
        <f t="shared" si="32"/>
        <v>1818</v>
      </c>
      <c r="L87" s="27">
        <v>0</v>
      </c>
      <c r="M87" s="27">
        <v>0</v>
      </c>
      <c r="N87" s="28">
        <f t="shared" si="33"/>
        <v>1818</v>
      </c>
    </row>
    <row r="88" spans="1:14" x14ac:dyDescent="0.25">
      <c r="A88" s="124" t="s">
        <v>103</v>
      </c>
      <c r="B88" s="88" t="s">
        <v>104</v>
      </c>
      <c r="C88" s="53"/>
      <c r="D88" s="53">
        <v>0</v>
      </c>
      <c r="E88" s="23"/>
      <c r="F88" s="23"/>
      <c r="G88" s="22"/>
      <c r="H88" s="24"/>
      <c r="I88" s="25"/>
      <c r="J88" s="25"/>
      <c r="K88" s="91">
        <v>0</v>
      </c>
      <c r="L88" s="27">
        <v>0</v>
      </c>
      <c r="M88" s="27">
        <v>60</v>
      </c>
      <c r="N88" s="28">
        <f t="shared" si="33"/>
        <v>60</v>
      </c>
    </row>
    <row r="89" spans="1:14" x14ac:dyDescent="0.25">
      <c r="A89" s="124" t="s">
        <v>105</v>
      </c>
      <c r="B89" s="88" t="s">
        <v>79</v>
      </c>
      <c r="C89" s="53"/>
      <c r="D89" s="53">
        <v>0</v>
      </c>
      <c r="E89" s="23"/>
      <c r="F89" s="23"/>
      <c r="G89" s="22"/>
      <c r="H89" s="24"/>
      <c r="I89" s="25"/>
      <c r="J89" s="25"/>
      <c r="K89" s="91">
        <v>0</v>
      </c>
      <c r="L89" s="27">
        <v>0</v>
      </c>
      <c r="M89" s="27">
        <v>20</v>
      </c>
      <c r="N89" s="28">
        <f t="shared" si="33"/>
        <v>20</v>
      </c>
    </row>
    <row r="90" spans="1:14" x14ac:dyDescent="0.25">
      <c r="A90" s="124" t="s">
        <v>467</v>
      </c>
      <c r="B90" s="88" t="s">
        <v>199</v>
      </c>
      <c r="C90" s="53"/>
      <c r="D90" s="53">
        <v>0</v>
      </c>
      <c r="E90" s="23"/>
      <c r="F90" s="23"/>
      <c r="G90" s="22"/>
      <c r="H90" s="24"/>
      <c r="I90" s="25"/>
      <c r="J90" s="25"/>
      <c r="K90" s="91">
        <v>0</v>
      </c>
      <c r="L90" s="27">
        <v>73.45</v>
      </c>
      <c r="M90" s="27">
        <v>0</v>
      </c>
      <c r="N90" s="28">
        <f t="shared" si="33"/>
        <v>73.45</v>
      </c>
    </row>
    <row r="91" spans="1:14" x14ac:dyDescent="0.25">
      <c r="A91" s="125" t="s">
        <v>106</v>
      </c>
      <c r="B91" s="88" t="s">
        <v>79</v>
      </c>
      <c r="C91" s="21">
        <v>2311.5</v>
      </c>
      <c r="D91" s="21">
        <v>2336</v>
      </c>
      <c r="E91" s="22">
        <v>0</v>
      </c>
      <c r="F91" s="22">
        <v>49</v>
      </c>
      <c r="G91" s="22">
        <f t="shared" si="34"/>
        <v>2385</v>
      </c>
      <c r="H91" s="24">
        <v>10</v>
      </c>
      <c r="I91" s="25">
        <v>0</v>
      </c>
      <c r="J91" s="25">
        <v>0</v>
      </c>
      <c r="K91" s="91">
        <f t="shared" si="32"/>
        <v>2395</v>
      </c>
      <c r="L91" s="27">
        <v>0</v>
      </c>
      <c r="M91" s="27">
        <v>0</v>
      </c>
      <c r="N91" s="28">
        <f t="shared" si="33"/>
        <v>2395</v>
      </c>
    </row>
    <row r="92" spans="1:14" x14ac:dyDescent="0.25">
      <c r="A92" s="125" t="s">
        <v>463</v>
      </c>
      <c r="B92" s="88" t="s">
        <v>199</v>
      </c>
      <c r="C92" s="21"/>
      <c r="D92" s="21">
        <v>0</v>
      </c>
      <c r="E92" s="22"/>
      <c r="F92" s="22"/>
      <c r="G92" s="22"/>
      <c r="H92" s="24"/>
      <c r="I92" s="25"/>
      <c r="J92" s="25"/>
      <c r="K92" s="91">
        <v>0</v>
      </c>
      <c r="L92" s="27">
        <v>67.760000000000005</v>
      </c>
      <c r="M92" s="27">
        <v>0</v>
      </c>
      <c r="N92" s="28">
        <f t="shared" si="33"/>
        <v>67.760000000000005</v>
      </c>
    </row>
    <row r="93" spans="1:14" ht="41.25" customHeight="1" x14ac:dyDescent="0.25">
      <c r="A93" s="20" t="s">
        <v>107</v>
      </c>
      <c r="B93" s="88" t="s">
        <v>108</v>
      </c>
      <c r="C93" s="21"/>
      <c r="D93" s="21">
        <v>0</v>
      </c>
      <c r="E93" s="22"/>
      <c r="F93" s="22"/>
      <c r="G93" s="22">
        <v>0</v>
      </c>
      <c r="H93" s="24">
        <v>658</v>
      </c>
      <c r="I93" s="25">
        <v>0</v>
      </c>
      <c r="J93" s="25">
        <v>0</v>
      </c>
      <c r="K93" s="91">
        <f t="shared" si="32"/>
        <v>658</v>
      </c>
      <c r="L93" s="27">
        <v>0</v>
      </c>
      <c r="M93" s="27">
        <v>0</v>
      </c>
      <c r="N93" s="28">
        <f t="shared" si="33"/>
        <v>658</v>
      </c>
    </row>
    <row r="94" spans="1:14" ht="14.25" customHeight="1" x14ac:dyDescent="0.25">
      <c r="A94" s="125" t="s">
        <v>109</v>
      </c>
      <c r="B94" s="88" t="s">
        <v>79</v>
      </c>
      <c r="C94" s="21">
        <v>781</v>
      </c>
      <c r="D94" s="21">
        <v>781</v>
      </c>
      <c r="E94" s="22">
        <v>0</v>
      </c>
      <c r="F94" s="22">
        <v>0</v>
      </c>
      <c r="G94" s="22">
        <f t="shared" si="34"/>
        <v>781</v>
      </c>
      <c r="H94" s="24">
        <v>0</v>
      </c>
      <c r="I94" s="25">
        <v>0</v>
      </c>
      <c r="J94" s="25">
        <v>0</v>
      </c>
      <c r="K94" s="91">
        <f t="shared" si="32"/>
        <v>781</v>
      </c>
      <c r="L94" s="27">
        <v>0</v>
      </c>
      <c r="M94" s="27">
        <v>0</v>
      </c>
      <c r="N94" s="28">
        <f t="shared" si="33"/>
        <v>781</v>
      </c>
    </row>
    <row r="95" spans="1:14" ht="14.25" customHeight="1" x14ac:dyDescent="0.25">
      <c r="A95" s="125" t="s">
        <v>110</v>
      </c>
      <c r="B95" s="88" t="s">
        <v>111</v>
      </c>
      <c r="C95" s="21"/>
      <c r="D95" s="21">
        <v>0</v>
      </c>
      <c r="E95" s="22">
        <v>123.58</v>
      </c>
      <c r="F95" s="22">
        <v>0</v>
      </c>
      <c r="G95" s="22">
        <f t="shared" si="34"/>
        <v>123.58</v>
      </c>
      <c r="H95" s="24">
        <v>0</v>
      </c>
      <c r="I95" s="25">
        <v>0</v>
      </c>
      <c r="J95" s="25">
        <v>0</v>
      </c>
      <c r="K95" s="91">
        <f t="shared" si="32"/>
        <v>123.58</v>
      </c>
      <c r="L95" s="27">
        <v>0</v>
      </c>
      <c r="M95" s="27">
        <v>0</v>
      </c>
      <c r="N95" s="28">
        <f t="shared" si="33"/>
        <v>123.58</v>
      </c>
    </row>
    <row r="96" spans="1:14" x14ac:dyDescent="0.25">
      <c r="A96" s="125" t="s">
        <v>112</v>
      </c>
      <c r="B96" s="88" t="s">
        <v>79</v>
      </c>
      <c r="C96" s="21">
        <v>2140.5</v>
      </c>
      <c r="D96" s="21">
        <v>2158</v>
      </c>
      <c r="E96" s="22">
        <v>0</v>
      </c>
      <c r="F96" s="22">
        <v>35</v>
      </c>
      <c r="G96" s="22">
        <f t="shared" si="34"/>
        <v>2193</v>
      </c>
      <c r="H96" s="24">
        <v>10</v>
      </c>
      <c r="I96" s="25">
        <v>0</v>
      </c>
      <c r="J96" s="25">
        <v>0</v>
      </c>
      <c r="K96" s="91">
        <f t="shared" si="32"/>
        <v>2203</v>
      </c>
      <c r="L96" s="27">
        <v>0</v>
      </c>
      <c r="M96" s="27">
        <v>0</v>
      </c>
      <c r="N96" s="28">
        <f t="shared" si="33"/>
        <v>2203</v>
      </c>
    </row>
    <row r="97" spans="1:14" x14ac:dyDescent="0.25">
      <c r="A97" s="125" t="s">
        <v>113</v>
      </c>
      <c r="B97" s="88" t="s">
        <v>114</v>
      </c>
      <c r="C97" s="21"/>
      <c r="D97" s="21">
        <v>0</v>
      </c>
      <c r="E97" s="22">
        <v>248.97</v>
      </c>
      <c r="F97" s="22">
        <v>0</v>
      </c>
      <c r="G97" s="22">
        <f t="shared" si="34"/>
        <v>248.97</v>
      </c>
      <c r="H97" s="24">
        <v>0</v>
      </c>
      <c r="I97" s="25">
        <v>0</v>
      </c>
      <c r="J97" s="25">
        <v>0</v>
      </c>
      <c r="K97" s="91">
        <f t="shared" si="32"/>
        <v>248.97</v>
      </c>
      <c r="L97" s="27">
        <v>0</v>
      </c>
      <c r="M97" s="27">
        <v>0</v>
      </c>
      <c r="N97" s="28">
        <f t="shared" si="33"/>
        <v>248.97</v>
      </c>
    </row>
    <row r="98" spans="1:14" x14ac:dyDescent="0.25">
      <c r="A98" s="125" t="s">
        <v>464</v>
      </c>
      <c r="B98" s="88" t="s">
        <v>199</v>
      </c>
      <c r="C98" s="21"/>
      <c r="D98" s="21">
        <v>0</v>
      </c>
      <c r="E98" s="22"/>
      <c r="F98" s="22"/>
      <c r="G98" s="22"/>
      <c r="H98" s="24"/>
      <c r="I98" s="25"/>
      <c r="J98" s="25"/>
      <c r="K98" s="91">
        <v>0</v>
      </c>
      <c r="L98" s="27">
        <v>106.48</v>
      </c>
      <c r="M98" s="27">
        <v>0</v>
      </c>
      <c r="N98" s="28">
        <f t="shared" si="33"/>
        <v>106.48</v>
      </c>
    </row>
    <row r="99" spans="1:14" x14ac:dyDescent="0.25">
      <c r="A99" s="125" t="s">
        <v>115</v>
      </c>
      <c r="B99" s="88" t="s">
        <v>79</v>
      </c>
      <c r="C99" s="21">
        <v>1197.5</v>
      </c>
      <c r="D99" s="21">
        <v>1202</v>
      </c>
      <c r="E99" s="22">
        <v>0</v>
      </c>
      <c r="F99" s="22">
        <v>8</v>
      </c>
      <c r="G99" s="22">
        <f t="shared" si="34"/>
        <v>1210</v>
      </c>
      <c r="H99" s="24">
        <v>10</v>
      </c>
      <c r="I99" s="25">
        <v>0</v>
      </c>
      <c r="J99" s="25">
        <v>0</v>
      </c>
      <c r="K99" s="91">
        <f t="shared" si="32"/>
        <v>1220</v>
      </c>
      <c r="L99" s="27">
        <v>0</v>
      </c>
      <c r="M99" s="27">
        <v>0</v>
      </c>
      <c r="N99" s="28">
        <f t="shared" si="33"/>
        <v>1220</v>
      </c>
    </row>
    <row r="100" spans="1:14" x14ac:dyDescent="0.25">
      <c r="A100" s="125" t="s">
        <v>116</v>
      </c>
      <c r="B100" s="88" t="s">
        <v>117</v>
      </c>
      <c r="C100" s="21"/>
      <c r="D100" s="21">
        <v>0</v>
      </c>
      <c r="E100" s="22">
        <v>178.03</v>
      </c>
      <c r="F100" s="22">
        <v>0</v>
      </c>
      <c r="G100" s="22">
        <f t="shared" si="34"/>
        <v>178.03</v>
      </c>
      <c r="H100" s="24">
        <v>0</v>
      </c>
      <c r="I100" s="25">
        <v>0</v>
      </c>
      <c r="J100" s="25">
        <v>0</v>
      </c>
      <c r="K100" s="91">
        <f t="shared" si="32"/>
        <v>178.03</v>
      </c>
      <c r="L100" s="27">
        <v>0</v>
      </c>
      <c r="M100" s="27">
        <v>0</v>
      </c>
      <c r="N100" s="28">
        <f t="shared" si="33"/>
        <v>178.03</v>
      </c>
    </row>
    <row r="101" spans="1:14" x14ac:dyDescent="0.25">
      <c r="A101" s="125" t="s">
        <v>466</v>
      </c>
      <c r="B101" s="88" t="s">
        <v>199</v>
      </c>
      <c r="C101" s="21"/>
      <c r="D101" s="21">
        <v>0</v>
      </c>
      <c r="E101" s="22"/>
      <c r="F101" s="22"/>
      <c r="G101" s="22"/>
      <c r="H101" s="24"/>
      <c r="I101" s="25"/>
      <c r="J101" s="25"/>
      <c r="K101" s="91">
        <v>0</v>
      </c>
      <c r="L101" s="27">
        <v>41.29</v>
      </c>
      <c r="M101" s="27">
        <v>0</v>
      </c>
      <c r="N101" s="28">
        <f t="shared" si="33"/>
        <v>41.29</v>
      </c>
    </row>
    <row r="102" spans="1:14" x14ac:dyDescent="0.25">
      <c r="A102" s="125" t="s">
        <v>118</v>
      </c>
      <c r="B102" s="88" t="s">
        <v>79</v>
      </c>
      <c r="C102" s="21">
        <v>153</v>
      </c>
      <c r="D102" s="21">
        <v>153</v>
      </c>
      <c r="E102" s="22">
        <v>0</v>
      </c>
      <c r="F102" s="22">
        <v>0</v>
      </c>
      <c r="G102" s="22">
        <f t="shared" si="34"/>
        <v>153</v>
      </c>
      <c r="H102" s="24">
        <v>0</v>
      </c>
      <c r="I102" s="25">
        <v>0</v>
      </c>
      <c r="J102" s="25">
        <v>0</v>
      </c>
      <c r="K102" s="91">
        <f t="shared" si="32"/>
        <v>153</v>
      </c>
      <c r="L102" s="27">
        <v>0</v>
      </c>
      <c r="M102" s="27">
        <v>0</v>
      </c>
      <c r="N102" s="28">
        <f t="shared" si="33"/>
        <v>153</v>
      </c>
    </row>
    <row r="103" spans="1:14" x14ac:dyDescent="0.25">
      <c r="A103" s="125" t="s">
        <v>119</v>
      </c>
      <c r="B103" s="88" t="s">
        <v>79</v>
      </c>
      <c r="C103" s="21">
        <v>1132.5</v>
      </c>
      <c r="D103" s="21">
        <v>1141</v>
      </c>
      <c r="E103" s="22">
        <v>0</v>
      </c>
      <c r="F103" s="22">
        <v>18</v>
      </c>
      <c r="G103" s="22">
        <f t="shared" si="34"/>
        <v>1159</v>
      </c>
      <c r="H103" s="24">
        <v>0</v>
      </c>
      <c r="I103" s="25">
        <v>0</v>
      </c>
      <c r="J103" s="25">
        <v>0</v>
      </c>
      <c r="K103" s="91">
        <f t="shared" si="32"/>
        <v>1159</v>
      </c>
      <c r="L103" s="27">
        <v>0</v>
      </c>
      <c r="M103" s="27">
        <v>0</v>
      </c>
      <c r="N103" s="28">
        <f t="shared" si="33"/>
        <v>1159</v>
      </c>
    </row>
    <row r="104" spans="1:14" x14ac:dyDescent="0.25">
      <c r="A104" s="125" t="s">
        <v>120</v>
      </c>
      <c r="B104" s="88" t="s">
        <v>121</v>
      </c>
      <c r="C104" s="21"/>
      <c r="D104" s="21">
        <v>0</v>
      </c>
      <c r="E104" s="22">
        <v>253.3</v>
      </c>
      <c r="F104" s="22">
        <v>0</v>
      </c>
      <c r="G104" s="22">
        <f t="shared" si="34"/>
        <v>253.3</v>
      </c>
      <c r="H104" s="24">
        <v>0</v>
      </c>
      <c r="I104" s="25">
        <v>0</v>
      </c>
      <c r="J104" s="25">
        <v>0</v>
      </c>
      <c r="K104" s="91">
        <f t="shared" si="32"/>
        <v>253.3</v>
      </c>
      <c r="L104" s="27">
        <v>0</v>
      </c>
      <c r="M104" s="27">
        <v>0</v>
      </c>
      <c r="N104" s="28">
        <f t="shared" si="33"/>
        <v>253.3</v>
      </c>
    </row>
    <row r="105" spans="1:14" ht="25.5" x14ac:dyDescent="0.25">
      <c r="A105" s="20" t="s">
        <v>122</v>
      </c>
      <c r="B105" s="88" t="s">
        <v>123</v>
      </c>
      <c r="C105" s="21"/>
      <c r="D105" s="21">
        <v>0</v>
      </c>
      <c r="E105" s="22"/>
      <c r="F105" s="22"/>
      <c r="G105" s="22">
        <v>0</v>
      </c>
      <c r="H105" s="24">
        <v>450</v>
      </c>
      <c r="I105" s="25">
        <v>0</v>
      </c>
      <c r="J105" s="25">
        <v>0</v>
      </c>
      <c r="K105" s="91">
        <f t="shared" si="32"/>
        <v>450</v>
      </c>
      <c r="L105" s="27">
        <v>0</v>
      </c>
      <c r="M105" s="27">
        <v>0</v>
      </c>
      <c r="N105" s="28">
        <f t="shared" si="33"/>
        <v>450</v>
      </c>
    </row>
    <row r="106" spans="1:14" x14ac:dyDescent="0.25">
      <c r="A106" s="125" t="s">
        <v>124</v>
      </c>
      <c r="B106" s="88" t="s">
        <v>79</v>
      </c>
      <c r="C106" s="21">
        <v>142</v>
      </c>
      <c r="D106" s="21">
        <v>142</v>
      </c>
      <c r="E106" s="22">
        <v>0</v>
      </c>
      <c r="F106" s="22">
        <v>0</v>
      </c>
      <c r="G106" s="22">
        <f t="shared" si="34"/>
        <v>142</v>
      </c>
      <c r="H106" s="24">
        <v>0</v>
      </c>
      <c r="I106" s="25">
        <v>0</v>
      </c>
      <c r="J106" s="25">
        <v>0</v>
      </c>
      <c r="K106" s="91">
        <f t="shared" si="32"/>
        <v>142</v>
      </c>
      <c r="L106" s="27">
        <v>0</v>
      </c>
      <c r="M106" s="27">
        <v>0</v>
      </c>
      <c r="N106" s="28">
        <f t="shared" si="33"/>
        <v>142</v>
      </c>
    </row>
    <row r="107" spans="1:14" x14ac:dyDescent="0.25">
      <c r="A107" s="125" t="s">
        <v>125</v>
      </c>
      <c r="B107" s="88" t="s">
        <v>111</v>
      </c>
      <c r="C107" s="21"/>
      <c r="D107" s="21">
        <v>0</v>
      </c>
      <c r="E107" s="22">
        <v>115.89</v>
      </c>
      <c r="F107" s="22">
        <v>0</v>
      </c>
      <c r="G107" s="22">
        <f t="shared" si="34"/>
        <v>115.89</v>
      </c>
      <c r="H107" s="24">
        <v>0</v>
      </c>
      <c r="I107" s="25">
        <v>0</v>
      </c>
      <c r="J107" s="25">
        <v>0</v>
      </c>
      <c r="K107" s="91">
        <f t="shared" si="32"/>
        <v>115.89</v>
      </c>
      <c r="L107" s="27">
        <v>0</v>
      </c>
      <c r="M107" s="27">
        <v>0</v>
      </c>
      <c r="N107" s="28">
        <f t="shared" si="33"/>
        <v>115.89</v>
      </c>
    </row>
    <row r="108" spans="1:14" x14ac:dyDescent="0.25">
      <c r="A108" s="125" t="s">
        <v>126</v>
      </c>
      <c r="B108" s="88" t="s">
        <v>79</v>
      </c>
      <c r="C108" s="21">
        <v>2540</v>
      </c>
      <c r="D108" s="21">
        <v>2565</v>
      </c>
      <c r="E108" s="22">
        <v>0</v>
      </c>
      <c r="F108" s="22">
        <v>50</v>
      </c>
      <c r="G108" s="22">
        <f t="shared" si="34"/>
        <v>2615</v>
      </c>
      <c r="H108" s="24">
        <v>10</v>
      </c>
      <c r="I108" s="25">
        <v>0</v>
      </c>
      <c r="J108" s="25">
        <v>0</v>
      </c>
      <c r="K108" s="91">
        <f t="shared" si="32"/>
        <v>2625</v>
      </c>
      <c r="L108" s="27">
        <v>0</v>
      </c>
      <c r="M108" s="27">
        <v>0</v>
      </c>
      <c r="N108" s="28">
        <f t="shared" si="33"/>
        <v>2625</v>
      </c>
    </row>
    <row r="109" spans="1:14" x14ac:dyDescent="0.25">
      <c r="A109" s="125" t="s">
        <v>127</v>
      </c>
      <c r="B109" s="88" t="s">
        <v>117</v>
      </c>
      <c r="C109" s="21"/>
      <c r="D109" s="21">
        <v>0</v>
      </c>
      <c r="E109" s="22">
        <v>360</v>
      </c>
      <c r="F109" s="22">
        <v>0</v>
      </c>
      <c r="G109" s="22">
        <f t="shared" si="34"/>
        <v>360</v>
      </c>
      <c r="H109" s="24">
        <v>0</v>
      </c>
      <c r="I109" s="25">
        <v>0</v>
      </c>
      <c r="J109" s="25">
        <v>0</v>
      </c>
      <c r="K109" s="91">
        <f t="shared" si="32"/>
        <v>360</v>
      </c>
      <c r="L109" s="27">
        <v>0</v>
      </c>
      <c r="M109" s="27">
        <v>0</v>
      </c>
      <c r="N109" s="28">
        <f t="shared" si="33"/>
        <v>360</v>
      </c>
    </row>
    <row r="110" spans="1:14" x14ac:dyDescent="0.25">
      <c r="A110" s="125" t="s">
        <v>128</v>
      </c>
      <c r="B110" s="88" t="s">
        <v>79</v>
      </c>
      <c r="C110" s="21">
        <v>210</v>
      </c>
      <c r="D110" s="21">
        <v>210</v>
      </c>
      <c r="E110" s="22">
        <v>0</v>
      </c>
      <c r="F110" s="22">
        <v>0</v>
      </c>
      <c r="G110" s="22">
        <f t="shared" si="34"/>
        <v>210</v>
      </c>
      <c r="H110" s="24">
        <v>0</v>
      </c>
      <c r="I110" s="25">
        <v>0</v>
      </c>
      <c r="J110" s="25">
        <v>0</v>
      </c>
      <c r="K110" s="91">
        <f t="shared" si="32"/>
        <v>210</v>
      </c>
      <c r="L110" s="27">
        <v>0</v>
      </c>
      <c r="M110" s="27">
        <v>0</v>
      </c>
      <c r="N110" s="28">
        <f t="shared" si="33"/>
        <v>210</v>
      </c>
    </row>
    <row r="111" spans="1:14" x14ac:dyDescent="0.25">
      <c r="A111" s="125" t="s">
        <v>129</v>
      </c>
      <c r="B111" s="88" t="s">
        <v>79</v>
      </c>
      <c r="C111" s="21">
        <v>1817</v>
      </c>
      <c r="D111" s="21">
        <v>1838</v>
      </c>
      <c r="E111" s="22">
        <v>0</v>
      </c>
      <c r="F111" s="22">
        <v>42</v>
      </c>
      <c r="G111" s="22">
        <f t="shared" si="34"/>
        <v>1880</v>
      </c>
      <c r="H111" s="24">
        <v>10</v>
      </c>
      <c r="I111" s="25">
        <v>0</v>
      </c>
      <c r="J111" s="25">
        <v>0</v>
      </c>
      <c r="K111" s="91">
        <f t="shared" si="32"/>
        <v>1890</v>
      </c>
      <c r="L111" s="27">
        <v>0</v>
      </c>
      <c r="M111" s="27">
        <v>0</v>
      </c>
      <c r="N111" s="28">
        <f t="shared" si="33"/>
        <v>1890</v>
      </c>
    </row>
    <row r="112" spans="1:14" x14ac:dyDescent="0.25">
      <c r="A112" s="125" t="s">
        <v>130</v>
      </c>
      <c r="B112" s="88" t="s">
        <v>131</v>
      </c>
      <c r="C112" s="21"/>
      <c r="D112" s="21">
        <v>0</v>
      </c>
      <c r="E112" s="22">
        <v>276.77999999999997</v>
      </c>
      <c r="F112" s="22">
        <v>0</v>
      </c>
      <c r="G112" s="22">
        <f t="shared" si="34"/>
        <v>276.77999999999997</v>
      </c>
      <c r="H112" s="24">
        <v>0</v>
      </c>
      <c r="I112" s="25">
        <v>0</v>
      </c>
      <c r="J112" s="25">
        <v>0</v>
      </c>
      <c r="K112" s="91">
        <f t="shared" si="32"/>
        <v>276.77999999999997</v>
      </c>
      <c r="L112" s="27">
        <v>0</v>
      </c>
      <c r="M112" s="27">
        <v>0</v>
      </c>
      <c r="N112" s="28">
        <f t="shared" si="33"/>
        <v>276.77999999999997</v>
      </c>
    </row>
    <row r="113" spans="1:14" x14ac:dyDescent="0.25">
      <c r="A113" s="125" t="s">
        <v>465</v>
      </c>
      <c r="B113" s="88" t="s">
        <v>199</v>
      </c>
      <c r="C113" s="21"/>
      <c r="D113" s="21">
        <v>0</v>
      </c>
      <c r="E113" s="22"/>
      <c r="F113" s="22"/>
      <c r="G113" s="22"/>
      <c r="H113" s="24"/>
      <c r="I113" s="25"/>
      <c r="J113" s="25"/>
      <c r="K113" s="91">
        <v>0</v>
      </c>
      <c r="L113" s="27">
        <v>42.09</v>
      </c>
      <c r="M113" s="27">
        <v>0</v>
      </c>
      <c r="N113" s="28">
        <f t="shared" si="33"/>
        <v>42.09</v>
      </c>
    </row>
    <row r="114" spans="1:14" x14ac:dyDescent="0.25">
      <c r="A114" s="125" t="s">
        <v>132</v>
      </c>
      <c r="B114" s="88" t="s">
        <v>79</v>
      </c>
      <c r="C114" s="21">
        <v>214</v>
      </c>
      <c r="D114" s="21">
        <v>214</v>
      </c>
      <c r="E114" s="22">
        <v>0</v>
      </c>
      <c r="F114" s="22">
        <v>0</v>
      </c>
      <c r="G114" s="22">
        <f t="shared" si="34"/>
        <v>214</v>
      </c>
      <c r="H114" s="24">
        <v>0</v>
      </c>
      <c r="I114" s="25">
        <v>0</v>
      </c>
      <c r="J114" s="25">
        <v>0</v>
      </c>
      <c r="K114" s="91">
        <f t="shared" si="32"/>
        <v>214</v>
      </c>
      <c r="L114" s="27">
        <v>0</v>
      </c>
      <c r="M114" s="27">
        <v>0</v>
      </c>
      <c r="N114" s="28">
        <f t="shared" si="33"/>
        <v>214</v>
      </c>
    </row>
    <row r="115" spans="1:14" x14ac:dyDescent="0.25">
      <c r="A115" s="125" t="s">
        <v>133</v>
      </c>
      <c r="B115" s="88" t="s">
        <v>79</v>
      </c>
      <c r="C115" s="21">
        <v>3833</v>
      </c>
      <c r="D115" s="21">
        <v>3833</v>
      </c>
      <c r="E115" s="22">
        <v>0</v>
      </c>
      <c r="F115" s="22">
        <v>0</v>
      </c>
      <c r="G115" s="22">
        <f t="shared" si="34"/>
        <v>3833</v>
      </c>
      <c r="H115" s="24">
        <v>10</v>
      </c>
      <c r="I115" s="25">
        <v>0</v>
      </c>
      <c r="J115" s="25">
        <v>0</v>
      </c>
      <c r="K115" s="91">
        <f t="shared" si="32"/>
        <v>3843</v>
      </c>
      <c r="L115" s="27">
        <v>0</v>
      </c>
      <c r="M115" s="27">
        <v>0</v>
      </c>
      <c r="N115" s="28">
        <f t="shared" si="33"/>
        <v>3843</v>
      </c>
    </row>
    <row r="116" spans="1:14" ht="25.5" customHeight="1" x14ac:dyDescent="0.25">
      <c r="A116" s="20" t="s">
        <v>134</v>
      </c>
      <c r="B116" s="88" t="s">
        <v>79</v>
      </c>
      <c r="C116" s="21">
        <v>28</v>
      </c>
      <c r="D116" s="21">
        <v>36</v>
      </c>
      <c r="E116" s="22">
        <v>0</v>
      </c>
      <c r="F116" s="22">
        <v>0</v>
      </c>
      <c r="G116" s="22">
        <f t="shared" si="34"/>
        <v>36</v>
      </c>
      <c r="H116" s="24">
        <v>0</v>
      </c>
      <c r="I116" s="25">
        <v>0</v>
      </c>
      <c r="J116" s="25">
        <v>0</v>
      </c>
      <c r="K116" s="91">
        <f t="shared" si="32"/>
        <v>36</v>
      </c>
      <c r="L116" s="27">
        <v>0</v>
      </c>
      <c r="M116" s="27">
        <v>0</v>
      </c>
      <c r="N116" s="28">
        <f t="shared" si="33"/>
        <v>36</v>
      </c>
    </row>
    <row r="117" spans="1:14" ht="25.5" customHeight="1" x14ac:dyDescent="0.25">
      <c r="A117" s="20" t="s">
        <v>135</v>
      </c>
      <c r="B117" s="88" t="s">
        <v>79</v>
      </c>
      <c r="C117" s="21">
        <v>47</v>
      </c>
      <c r="D117" s="21">
        <v>47</v>
      </c>
      <c r="E117" s="22">
        <v>0</v>
      </c>
      <c r="F117" s="22">
        <v>0</v>
      </c>
      <c r="G117" s="22">
        <f t="shared" si="34"/>
        <v>47</v>
      </c>
      <c r="H117" s="24">
        <v>0</v>
      </c>
      <c r="I117" s="25">
        <v>0</v>
      </c>
      <c r="J117" s="25">
        <v>0</v>
      </c>
      <c r="K117" s="91">
        <f t="shared" si="32"/>
        <v>47</v>
      </c>
      <c r="L117" s="27">
        <v>0</v>
      </c>
      <c r="M117" s="27">
        <v>0</v>
      </c>
      <c r="N117" s="28">
        <f t="shared" si="33"/>
        <v>47</v>
      </c>
    </row>
    <row r="118" spans="1:14" ht="25.5" customHeight="1" x14ac:dyDescent="0.25">
      <c r="A118" s="20" t="s">
        <v>136</v>
      </c>
      <c r="B118" s="88" t="s">
        <v>79</v>
      </c>
      <c r="C118" s="21">
        <v>22</v>
      </c>
      <c r="D118" s="21">
        <v>26</v>
      </c>
      <c r="E118" s="22">
        <v>0</v>
      </c>
      <c r="F118" s="22">
        <v>0</v>
      </c>
      <c r="G118" s="22">
        <f t="shared" si="34"/>
        <v>26</v>
      </c>
      <c r="H118" s="24">
        <v>0</v>
      </c>
      <c r="I118" s="25">
        <v>0</v>
      </c>
      <c r="J118" s="25">
        <v>0</v>
      </c>
      <c r="K118" s="91">
        <f t="shared" si="32"/>
        <v>26</v>
      </c>
      <c r="L118" s="27">
        <v>0</v>
      </c>
      <c r="M118" s="27">
        <v>0</v>
      </c>
      <c r="N118" s="28">
        <f t="shared" si="33"/>
        <v>26</v>
      </c>
    </row>
    <row r="119" spans="1:14" ht="25.5" customHeight="1" x14ac:dyDescent="0.25">
      <c r="A119" s="20" t="s">
        <v>137</v>
      </c>
      <c r="B119" s="88" t="s">
        <v>79</v>
      </c>
      <c r="C119" s="21"/>
      <c r="D119" s="21">
        <v>0</v>
      </c>
      <c r="E119" s="22">
        <v>0</v>
      </c>
      <c r="F119" s="22">
        <v>280</v>
      </c>
      <c r="G119" s="22">
        <f t="shared" si="34"/>
        <v>280</v>
      </c>
      <c r="H119" s="24">
        <v>0</v>
      </c>
      <c r="I119" s="25">
        <v>0</v>
      </c>
      <c r="J119" s="25">
        <v>0</v>
      </c>
      <c r="K119" s="91">
        <f t="shared" si="32"/>
        <v>280</v>
      </c>
      <c r="L119" s="27">
        <v>0</v>
      </c>
      <c r="M119" s="27">
        <v>0</v>
      </c>
      <c r="N119" s="28">
        <f t="shared" si="33"/>
        <v>280</v>
      </c>
    </row>
    <row r="120" spans="1:14" ht="25.5" customHeight="1" x14ac:dyDescent="0.25">
      <c r="A120" s="20" t="s">
        <v>138</v>
      </c>
      <c r="B120" s="88" t="s">
        <v>79</v>
      </c>
      <c r="C120" s="21"/>
      <c r="D120" s="21">
        <v>0</v>
      </c>
      <c r="E120" s="22">
        <v>0</v>
      </c>
      <c r="F120" s="22">
        <v>78</v>
      </c>
      <c r="G120" s="22">
        <f t="shared" si="34"/>
        <v>78</v>
      </c>
      <c r="H120" s="24">
        <v>0</v>
      </c>
      <c r="I120" s="25">
        <v>0</v>
      </c>
      <c r="J120" s="25">
        <v>0</v>
      </c>
      <c r="K120" s="27">
        <f t="shared" si="32"/>
        <v>78</v>
      </c>
      <c r="L120" s="27">
        <v>0</v>
      </c>
      <c r="M120" s="27">
        <v>43</v>
      </c>
      <c r="N120" s="28">
        <f t="shared" si="33"/>
        <v>121</v>
      </c>
    </row>
    <row r="121" spans="1:14" ht="25.5" customHeight="1" x14ac:dyDescent="0.25">
      <c r="A121" s="20" t="s">
        <v>139</v>
      </c>
      <c r="B121" s="88" t="s">
        <v>140</v>
      </c>
      <c r="C121" s="21"/>
      <c r="D121" s="21">
        <v>0</v>
      </c>
      <c r="E121" s="22">
        <v>720.38</v>
      </c>
      <c r="F121" s="22">
        <v>0</v>
      </c>
      <c r="G121" s="21">
        <f t="shared" si="34"/>
        <v>720.38</v>
      </c>
      <c r="H121" s="24">
        <v>0</v>
      </c>
      <c r="I121" s="25">
        <v>0</v>
      </c>
      <c r="J121" s="25">
        <v>0</v>
      </c>
      <c r="K121" s="91">
        <f t="shared" si="32"/>
        <v>720.38</v>
      </c>
      <c r="L121" s="27">
        <v>0</v>
      </c>
      <c r="M121" s="27">
        <v>0</v>
      </c>
      <c r="N121" s="28">
        <f t="shared" si="33"/>
        <v>720.38</v>
      </c>
    </row>
    <row r="122" spans="1:14" ht="64.5" customHeight="1" x14ac:dyDescent="0.25">
      <c r="A122" s="52" t="s">
        <v>141</v>
      </c>
      <c r="B122" s="93" t="s">
        <v>108</v>
      </c>
      <c r="C122" s="53"/>
      <c r="D122" s="53">
        <v>0</v>
      </c>
      <c r="E122" s="23"/>
      <c r="F122" s="23"/>
      <c r="G122" s="23">
        <v>0</v>
      </c>
      <c r="H122" s="24">
        <v>650</v>
      </c>
      <c r="I122" s="25">
        <v>0</v>
      </c>
      <c r="J122" s="25">
        <v>0</v>
      </c>
      <c r="K122" s="91">
        <f t="shared" si="32"/>
        <v>650</v>
      </c>
      <c r="L122" s="27">
        <v>0</v>
      </c>
      <c r="M122" s="27">
        <v>0</v>
      </c>
      <c r="N122" s="28">
        <f t="shared" si="33"/>
        <v>650</v>
      </c>
    </row>
    <row r="123" spans="1:14" ht="42" customHeight="1" x14ac:dyDescent="0.25">
      <c r="A123" s="20" t="s">
        <v>142</v>
      </c>
      <c r="B123" s="88" t="s">
        <v>143</v>
      </c>
      <c r="C123" s="21"/>
      <c r="D123" s="21">
        <v>0</v>
      </c>
      <c r="E123" s="22"/>
      <c r="F123" s="22"/>
      <c r="G123" s="22">
        <v>0</v>
      </c>
      <c r="H123" s="24">
        <v>145.47</v>
      </c>
      <c r="I123" s="25">
        <v>0</v>
      </c>
      <c r="J123" s="25">
        <v>0</v>
      </c>
      <c r="K123" s="91">
        <f t="shared" si="32"/>
        <v>145.47</v>
      </c>
      <c r="L123" s="27">
        <v>0</v>
      </c>
      <c r="M123" s="27">
        <v>0</v>
      </c>
      <c r="N123" s="28">
        <f t="shared" si="33"/>
        <v>145.47</v>
      </c>
    </row>
    <row r="124" spans="1:14" x14ac:dyDescent="0.25">
      <c r="A124" s="125" t="s">
        <v>144</v>
      </c>
      <c r="B124" s="88" t="s">
        <v>79</v>
      </c>
      <c r="C124" s="21">
        <v>3101</v>
      </c>
      <c r="D124" s="21">
        <v>3112</v>
      </c>
      <c r="E124" s="22">
        <v>0</v>
      </c>
      <c r="F124" s="22">
        <v>22</v>
      </c>
      <c r="G124" s="22">
        <f t="shared" si="34"/>
        <v>3134</v>
      </c>
      <c r="H124" s="24">
        <v>10</v>
      </c>
      <c r="I124" s="25">
        <v>0</v>
      </c>
      <c r="J124" s="25">
        <v>0</v>
      </c>
      <c r="K124" s="91">
        <f t="shared" si="32"/>
        <v>3144</v>
      </c>
      <c r="L124" s="27">
        <v>0</v>
      </c>
      <c r="M124" s="27">
        <v>0</v>
      </c>
      <c r="N124" s="28">
        <f t="shared" si="33"/>
        <v>3144</v>
      </c>
    </row>
    <row r="125" spans="1:14" ht="25.5" customHeight="1" x14ac:dyDescent="0.25">
      <c r="A125" s="20" t="s">
        <v>145</v>
      </c>
      <c r="B125" s="88" t="s">
        <v>79</v>
      </c>
      <c r="C125" s="21">
        <v>110</v>
      </c>
      <c r="D125" s="21">
        <v>70</v>
      </c>
      <c r="E125" s="22">
        <v>0</v>
      </c>
      <c r="F125" s="22">
        <v>0</v>
      </c>
      <c r="G125" s="21">
        <f t="shared" si="34"/>
        <v>70</v>
      </c>
      <c r="H125" s="24">
        <v>0</v>
      </c>
      <c r="I125" s="25">
        <v>0</v>
      </c>
      <c r="J125" s="25">
        <v>0</v>
      </c>
      <c r="K125" s="91">
        <f t="shared" si="32"/>
        <v>70</v>
      </c>
      <c r="L125" s="27">
        <v>0</v>
      </c>
      <c r="M125" s="27">
        <v>0</v>
      </c>
      <c r="N125" s="28">
        <f t="shared" si="33"/>
        <v>70</v>
      </c>
    </row>
    <row r="126" spans="1:14" x14ac:dyDescent="0.25">
      <c r="A126" s="125" t="s">
        <v>146</v>
      </c>
      <c r="B126" s="88" t="s">
        <v>79</v>
      </c>
      <c r="C126" s="21">
        <v>106.5</v>
      </c>
      <c r="D126" s="21">
        <v>111</v>
      </c>
      <c r="E126" s="22">
        <v>0</v>
      </c>
      <c r="F126" s="22">
        <v>9</v>
      </c>
      <c r="G126" s="22">
        <f t="shared" si="34"/>
        <v>120</v>
      </c>
      <c r="H126" s="24">
        <v>0</v>
      </c>
      <c r="I126" s="25">
        <v>0</v>
      </c>
      <c r="J126" s="25">
        <v>0</v>
      </c>
      <c r="K126" s="91">
        <f t="shared" si="32"/>
        <v>120</v>
      </c>
      <c r="L126" s="27">
        <v>0</v>
      </c>
      <c r="M126" s="27">
        <v>0</v>
      </c>
      <c r="N126" s="28">
        <f t="shared" si="33"/>
        <v>120</v>
      </c>
    </row>
    <row r="127" spans="1:14" x14ac:dyDescent="0.25">
      <c r="A127" s="125" t="s">
        <v>147</v>
      </c>
      <c r="B127" s="88" t="s">
        <v>79</v>
      </c>
      <c r="C127" s="21"/>
      <c r="D127" s="21">
        <v>0</v>
      </c>
      <c r="E127" s="22">
        <v>0</v>
      </c>
      <c r="F127" s="22">
        <v>210</v>
      </c>
      <c r="G127" s="22">
        <f t="shared" si="34"/>
        <v>210</v>
      </c>
      <c r="H127" s="24">
        <v>0</v>
      </c>
      <c r="I127" s="25">
        <v>0</v>
      </c>
      <c r="J127" s="25">
        <v>0</v>
      </c>
      <c r="K127" s="91">
        <f t="shared" si="32"/>
        <v>210</v>
      </c>
      <c r="L127" s="27">
        <v>0</v>
      </c>
      <c r="M127" s="27">
        <v>0</v>
      </c>
      <c r="N127" s="28">
        <f t="shared" si="33"/>
        <v>210</v>
      </c>
    </row>
    <row r="128" spans="1:14" x14ac:dyDescent="0.25">
      <c r="A128" s="125" t="s">
        <v>148</v>
      </c>
      <c r="B128" s="88" t="s">
        <v>79</v>
      </c>
      <c r="C128" s="21"/>
      <c r="D128" s="21">
        <v>0</v>
      </c>
      <c r="E128" s="22">
        <v>0</v>
      </c>
      <c r="F128" s="22">
        <v>70</v>
      </c>
      <c r="G128" s="22">
        <f t="shared" si="34"/>
        <v>70</v>
      </c>
      <c r="H128" s="24">
        <v>0</v>
      </c>
      <c r="I128" s="25">
        <v>0</v>
      </c>
      <c r="J128" s="25">
        <v>0</v>
      </c>
      <c r="K128" s="91">
        <f t="shared" si="32"/>
        <v>70</v>
      </c>
      <c r="L128" s="27">
        <v>0</v>
      </c>
      <c r="M128" s="27">
        <v>36</v>
      </c>
      <c r="N128" s="28">
        <f t="shared" si="33"/>
        <v>106</v>
      </c>
    </row>
    <row r="129" spans="1:14" x14ac:dyDescent="0.25">
      <c r="A129" s="125" t="s">
        <v>149</v>
      </c>
      <c r="B129" s="88" t="s">
        <v>140</v>
      </c>
      <c r="C129" s="21"/>
      <c r="D129" s="21">
        <v>0</v>
      </c>
      <c r="E129" s="22">
        <v>380.87</v>
      </c>
      <c r="F129" s="22">
        <v>0</v>
      </c>
      <c r="G129" s="22">
        <f t="shared" si="34"/>
        <v>380.87</v>
      </c>
      <c r="H129" s="24">
        <v>0</v>
      </c>
      <c r="I129" s="25">
        <v>0</v>
      </c>
      <c r="J129" s="25">
        <v>0</v>
      </c>
      <c r="K129" s="91">
        <f t="shared" si="32"/>
        <v>380.87</v>
      </c>
      <c r="L129" s="27">
        <v>0</v>
      </c>
      <c r="M129" s="27">
        <v>0</v>
      </c>
      <c r="N129" s="28">
        <f t="shared" si="33"/>
        <v>380.87</v>
      </c>
    </row>
    <row r="130" spans="1:14" x14ac:dyDescent="0.25">
      <c r="A130" s="125" t="s">
        <v>150</v>
      </c>
      <c r="B130" s="88" t="s">
        <v>79</v>
      </c>
      <c r="C130" s="21">
        <v>1211.5</v>
      </c>
      <c r="D130" s="21">
        <v>1212</v>
      </c>
      <c r="E130" s="22">
        <v>0</v>
      </c>
      <c r="F130" s="22">
        <v>0</v>
      </c>
      <c r="G130" s="22">
        <f t="shared" si="34"/>
        <v>1212</v>
      </c>
      <c r="H130" s="24">
        <v>10</v>
      </c>
      <c r="I130" s="25">
        <v>0</v>
      </c>
      <c r="J130" s="25">
        <v>0</v>
      </c>
      <c r="K130" s="91">
        <f t="shared" si="32"/>
        <v>1222</v>
      </c>
      <c r="L130" s="27">
        <v>0</v>
      </c>
      <c r="M130" s="27">
        <v>0</v>
      </c>
      <c r="N130" s="28">
        <f t="shared" si="33"/>
        <v>1222</v>
      </c>
    </row>
    <row r="131" spans="1:14" x14ac:dyDescent="0.25">
      <c r="A131" s="125" t="s">
        <v>151</v>
      </c>
      <c r="B131" s="88" t="s">
        <v>79</v>
      </c>
      <c r="C131" s="21">
        <v>65</v>
      </c>
      <c r="D131" s="21">
        <v>195</v>
      </c>
      <c r="E131" s="22">
        <v>0</v>
      </c>
      <c r="F131" s="22">
        <v>31</v>
      </c>
      <c r="G131" s="22">
        <f t="shared" si="34"/>
        <v>226</v>
      </c>
      <c r="H131" s="24">
        <v>0</v>
      </c>
      <c r="I131" s="25">
        <v>0</v>
      </c>
      <c r="J131" s="25">
        <v>0</v>
      </c>
      <c r="K131" s="91">
        <f t="shared" si="32"/>
        <v>226</v>
      </c>
      <c r="L131" s="27">
        <v>0</v>
      </c>
      <c r="M131" s="27">
        <v>0</v>
      </c>
      <c r="N131" s="28">
        <f t="shared" si="33"/>
        <v>226</v>
      </c>
    </row>
    <row r="132" spans="1:14" x14ac:dyDescent="0.25">
      <c r="A132" s="125" t="s">
        <v>152</v>
      </c>
      <c r="B132" s="88" t="s">
        <v>79</v>
      </c>
      <c r="C132" s="21"/>
      <c r="D132" s="21">
        <v>0</v>
      </c>
      <c r="E132" s="22">
        <v>0</v>
      </c>
      <c r="F132" s="22">
        <v>100</v>
      </c>
      <c r="G132" s="22">
        <f t="shared" si="34"/>
        <v>100</v>
      </c>
      <c r="H132" s="24">
        <v>0</v>
      </c>
      <c r="I132" s="25">
        <v>0</v>
      </c>
      <c r="J132" s="25">
        <v>0</v>
      </c>
      <c r="K132" s="91">
        <f t="shared" si="32"/>
        <v>100</v>
      </c>
      <c r="L132" s="27">
        <v>0</v>
      </c>
      <c r="M132" s="27">
        <v>0</v>
      </c>
      <c r="N132" s="28">
        <f t="shared" si="33"/>
        <v>100</v>
      </c>
    </row>
    <row r="133" spans="1:14" x14ac:dyDescent="0.25">
      <c r="A133" s="125" t="s">
        <v>153</v>
      </c>
      <c r="B133" s="88" t="s">
        <v>111</v>
      </c>
      <c r="C133" s="21"/>
      <c r="D133" s="21">
        <v>0</v>
      </c>
      <c r="E133" s="22">
        <v>185.37</v>
      </c>
      <c r="F133" s="22">
        <v>0</v>
      </c>
      <c r="G133" s="22">
        <f t="shared" si="34"/>
        <v>185.37</v>
      </c>
      <c r="H133" s="24">
        <v>0</v>
      </c>
      <c r="I133" s="25">
        <v>0</v>
      </c>
      <c r="J133" s="25">
        <v>0</v>
      </c>
      <c r="K133" s="91">
        <f t="shared" si="32"/>
        <v>185.37</v>
      </c>
      <c r="L133" s="27">
        <v>0</v>
      </c>
      <c r="M133" s="27">
        <v>0</v>
      </c>
      <c r="N133" s="28">
        <f t="shared" si="33"/>
        <v>185.37</v>
      </c>
    </row>
    <row r="134" spans="1:14" x14ac:dyDescent="0.25">
      <c r="A134" s="125" t="s">
        <v>154</v>
      </c>
      <c r="B134" s="88" t="s">
        <v>79</v>
      </c>
      <c r="C134" s="21">
        <v>2303</v>
      </c>
      <c r="D134" s="21">
        <v>2294</v>
      </c>
      <c r="E134" s="22">
        <v>0</v>
      </c>
      <c r="F134" s="22">
        <v>0</v>
      </c>
      <c r="G134" s="22">
        <f t="shared" si="34"/>
        <v>2294</v>
      </c>
      <c r="H134" s="24">
        <v>10</v>
      </c>
      <c r="I134" s="25">
        <v>0</v>
      </c>
      <c r="J134" s="25">
        <v>0</v>
      </c>
      <c r="K134" s="91">
        <f t="shared" si="32"/>
        <v>2304</v>
      </c>
      <c r="L134" s="27">
        <v>0</v>
      </c>
      <c r="M134" s="27">
        <v>0</v>
      </c>
      <c r="N134" s="28">
        <f t="shared" si="33"/>
        <v>2304</v>
      </c>
    </row>
    <row r="135" spans="1:14" x14ac:dyDescent="0.25">
      <c r="A135" s="125" t="s">
        <v>155</v>
      </c>
      <c r="B135" s="88" t="s">
        <v>79</v>
      </c>
      <c r="C135" s="21">
        <v>185</v>
      </c>
      <c r="D135" s="21">
        <v>203</v>
      </c>
      <c r="E135" s="22">
        <v>0</v>
      </c>
      <c r="F135" s="22">
        <v>18</v>
      </c>
      <c r="G135" s="22">
        <f t="shared" si="34"/>
        <v>221</v>
      </c>
      <c r="H135" s="24">
        <v>0</v>
      </c>
      <c r="I135" s="25">
        <v>0</v>
      </c>
      <c r="J135" s="25">
        <v>0</v>
      </c>
      <c r="K135" s="91">
        <f t="shared" si="32"/>
        <v>221</v>
      </c>
      <c r="L135" s="27">
        <v>0</v>
      </c>
      <c r="M135" s="27">
        <v>0</v>
      </c>
      <c r="N135" s="28">
        <f t="shared" si="33"/>
        <v>221</v>
      </c>
    </row>
    <row r="136" spans="1:14" x14ac:dyDescent="0.25">
      <c r="A136" s="125" t="s">
        <v>156</v>
      </c>
      <c r="B136" s="88" t="s">
        <v>79</v>
      </c>
      <c r="C136" s="21"/>
      <c r="D136" s="21">
        <v>0</v>
      </c>
      <c r="E136" s="22">
        <v>0</v>
      </c>
      <c r="F136" s="22">
        <v>210</v>
      </c>
      <c r="G136" s="22">
        <f t="shared" si="34"/>
        <v>210</v>
      </c>
      <c r="H136" s="24">
        <v>0</v>
      </c>
      <c r="I136" s="25">
        <v>0</v>
      </c>
      <c r="J136" s="25">
        <v>0</v>
      </c>
      <c r="K136" s="91">
        <f t="shared" si="32"/>
        <v>210</v>
      </c>
      <c r="L136" s="27">
        <v>0</v>
      </c>
      <c r="M136" s="27">
        <v>0</v>
      </c>
      <c r="N136" s="28">
        <f t="shared" si="33"/>
        <v>210</v>
      </c>
    </row>
    <row r="137" spans="1:14" x14ac:dyDescent="0.25">
      <c r="A137" s="125" t="s">
        <v>157</v>
      </c>
      <c r="B137" s="88" t="s">
        <v>79</v>
      </c>
      <c r="C137" s="21"/>
      <c r="D137" s="21">
        <v>0</v>
      </c>
      <c r="E137" s="22">
        <v>0</v>
      </c>
      <c r="F137" s="22">
        <v>29</v>
      </c>
      <c r="G137" s="22">
        <f t="shared" si="34"/>
        <v>29</v>
      </c>
      <c r="H137" s="24">
        <v>0</v>
      </c>
      <c r="I137" s="25">
        <v>0</v>
      </c>
      <c r="J137" s="25">
        <v>0</v>
      </c>
      <c r="K137" s="91">
        <f t="shared" si="32"/>
        <v>29</v>
      </c>
      <c r="L137" s="27">
        <v>0</v>
      </c>
      <c r="M137" s="27">
        <v>20</v>
      </c>
      <c r="N137" s="28">
        <f t="shared" si="33"/>
        <v>49</v>
      </c>
    </row>
    <row r="138" spans="1:14" ht="38.25" x14ac:dyDescent="0.25">
      <c r="A138" s="20" t="s">
        <v>158</v>
      </c>
      <c r="B138" s="88" t="s">
        <v>104</v>
      </c>
      <c r="C138" s="21"/>
      <c r="D138" s="21">
        <v>0</v>
      </c>
      <c r="E138" s="22"/>
      <c r="F138" s="22"/>
      <c r="G138" s="22"/>
      <c r="H138" s="24"/>
      <c r="I138" s="25"/>
      <c r="J138" s="25"/>
      <c r="K138" s="91">
        <v>0</v>
      </c>
      <c r="L138" s="27">
        <v>0</v>
      </c>
      <c r="M138" s="27">
        <v>940</v>
      </c>
      <c r="N138" s="28">
        <f t="shared" si="33"/>
        <v>940</v>
      </c>
    </row>
    <row r="139" spans="1:14" ht="25.5" customHeight="1" x14ac:dyDescent="0.25">
      <c r="A139" s="20" t="s">
        <v>159</v>
      </c>
      <c r="B139" s="88" t="s">
        <v>65</v>
      </c>
      <c r="C139" s="21"/>
      <c r="D139" s="21">
        <v>0</v>
      </c>
      <c r="E139" s="22"/>
      <c r="F139" s="22"/>
      <c r="G139" s="22">
        <v>0</v>
      </c>
      <c r="H139" s="24">
        <v>390</v>
      </c>
      <c r="I139" s="25">
        <v>0</v>
      </c>
      <c r="J139" s="25">
        <v>0</v>
      </c>
      <c r="K139" s="91">
        <f t="shared" si="32"/>
        <v>390</v>
      </c>
      <c r="L139" s="27">
        <v>0</v>
      </c>
      <c r="M139" s="27">
        <v>0</v>
      </c>
      <c r="N139" s="28">
        <f t="shared" si="33"/>
        <v>390</v>
      </c>
    </row>
    <row r="140" spans="1:14" x14ac:dyDescent="0.25">
      <c r="A140" s="125" t="s">
        <v>160</v>
      </c>
      <c r="B140" s="88" t="s">
        <v>79</v>
      </c>
      <c r="C140" s="21">
        <v>5146.5</v>
      </c>
      <c r="D140" s="21">
        <v>5158</v>
      </c>
      <c r="E140" s="22">
        <v>0</v>
      </c>
      <c r="F140" s="22">
        <v>23</v>
      </c>
      <c r="G140" s="22">
        <f t="shared" si="34"/>
        <v>5181</v>
      </c>
      <c r="H140" s="24">
        <v>10</v>
      </c>
      <c r="I140" s="25">
        <v>0</v>
      </c>
      <c r="J140" s="25">
        <v>0</v>
      </c>
      <c r="K140" s="91">
        <f t="shared" si="32"/>
        <v>5191</v>
      </c>
      <c r="L140" s="27">
        <v>0</v>
      </c>
      <c r="M140" s="27">
        <v>0</v>
      </c>
      <c r="N140" s="28">
        <f t="shared" si="33"/>
        <v>5191</v>
      </c>
    </row>
    <row r="141" spans="1:14" x14ac:dyDescent="0.25">
      <c r="A141" s="125" t="s">
        <v>161</v>
      </c>
      <c r="B141" s="88" t="s">
        <v>79</v>
      </c>
      <c r="C141" s="21">
        <v>172</v>
      </c>
      <c r="D141" s="21">
        <v>179</v>
      </c>
      <c r="E141" s="22">
        <v>0</v>
      </c>
      <c r="F141" s="22">
        <v>0</v>
      </c>
      <c r="G141" s="22">
        <f t="shared" si="34"/>
        <v>179</v>
      </c>
      <c r="H141" s="24">
        <v>0</v>
      </c>
      <c r="I141" s="25">
        <v>0</v>
      </c>
      <c r="J141" s="25">
        <v>0</v>
      </c>
      <c r="K141" s="91">
        <f t="shared" si="32"/>
        <v>179</v>
      </c>
      <c r="L141" s="27">
        <v>0</v>
      </c>
      <c r="M141" s="27">
        <v>0</v>
      </c>
      <c r="N141" s="28">
        <f t="shared" si="33"/>
        <v>179</v>
      </c>
    </row>
    <row r="142" spans="1:14" x14ac:dyDescent="0.25">
      <c r="A142" s="125" t="s">
        <v>162</v>
      </c>
      <c r="B142" s="88" t="s">
        <v>79</v>
      </c>
      <c r="C142" s="21">
        <v>5</v>
      </c>
      <c r="D142" s="21">
        <v>5</v>
      </c>
      <c r="E142" s="22">
        <v>0</v>
      </c>
      <c r="F142" s="22">
        <v>0</v>
      </c>
      <c r="G142" s="22">
        <f t="shared" si="34"/>
        <v>5</v>
      </c>
      <c r="H142" s="24">
        <v>0</v>
      </c>
      <c r="I142" s="25">
        <v>0</v>
      </c>
      <c r="J142" s="25">
        <v>0</v>
      </c>
      <c r="K142" s="91">
        <f t="shared" si="32"/>
        <v>5</v>
      </c>
      <c r="L142" s="27">
        <v>0</v>
      </c>
      <c r="M142" s="27">
        <v>0</v>
      </c>
      <c r="N142" s="28">
        <f t="shared" si="33"/>
        <v>5</v>
      </c>
    </row>
    <row r="143" spans="1:14" x14ac:dyDescent="0.25">
      <c r="A143" s="125" t="s">
        <v>163</v>
      </c>
      <c r="B143" s="88" t="s">
        <v>79</v>
      </c>
      <c r="C143" s="21"/>
      <c r="D143" s="21">
        <v>0</v>
      </c>
      <c r="E143" s="22">
        <v>0</v>
      </c>
      <c r="F143" s="22">
        <v>385</v>
      </c>
      <c r="G143" s="22">
        <f t="shared" si="34"/>
        <v>385</v>
      </c>
      <c r="H143" s="24">
        <v>0</v>
      </c>
      <c r="I143" s="25">
        <v>0</v>
      </c>
      <c r="J143" s="25">
        <v>0</v>
      </c>
      <c r="K143" s="91">
        <f t="shared" si="32"/>
        <v>385</v>
      </c>
      <c r="L143" s="27">
        <v>0</v>
      </c>
      <c r="M143" s="27">
        <v>0</v>
      </c>
      <c r="N143" s="28">
        <f t="shared" si="33"/>
        <v>385</v>
      </c>
    </row>
    <row r="144" spans="1:14" x14ac:dyDescent="0.25">
      <c r="A144" s="125" t="s">
        <v>164</v>
      </c>
      <c r="B144" s="88" t="s">
        <v>79</v>
      </c>
      <c r="C144" s="21"/>
      <c r="D144" s="21">
        <v>0</v>
      </c>
      <c r="E144" s="22">
        <v>0</v>
      </c>
      <c r="F144" s="22">
        <v>122</v>
      </c>
      <c r="G144" s="22">
        <f t="shared" si="34"/>
        <v>122</v>
      </c>
      <c r="H144" s="24">
        <v>0</v>
      </c>
      <c r="I144" s="25">
        <v>0</v>
      </c>
      <c r="J144" s="25">
        <v>0</v>
      </c>
      <c r="K144" s="91">
        <f t="shared" si="32"/>
        <v>122</v>
      </c>
      <c r="L144" s="27">
        <v>0</v>
      </c>
      <c r="M144" s="27">
        <v>86</v>
      </c>
      <c r="N144" s="28">
        <f t="shared" si="33"/>
        <v>208</v>
      </c>
    </row>
    <row r="145" spans="1:14" ht="25.5" x14ac:dyDescent="0.25">
      <c r="A145" s="20" t="s">
        <v>165</v>
      </c>
      <c r="B145" s="88" t="s">
        <v>104</v>
      </c>
      <c r="C145" s="21"/>
      <c r="D145" s="21">
        <v>0</v>
      </c>
      <c r="E145" s="22"/>
      <c r="F145" s="22"/>
      <c r="G145" s="22"/>
      <c r="H145" s="24"/>
      <c r="I145" s="25"/>
      <c r="J145" s="25"/>
      <c r="K145" s="91">
        <v>0</v>
      </c>
      <c r="L145" s="27">
        <v>0</v>
      </c>
      <c r="M145" s="27">
        <v>1600</v>
      </c>
      <c r="N145" s="28">
        <f t="shared" si="33"/>
        <v>1600</v>
      </c>
    </row>
    <row r="146" spans="1:14" ht="38.25" x14ac:dyDescent="0.25">
      <c r="A146" s="20" t="s">
        <v>166</v>
      </c>
      <c r="B146" s="88" t="s">
        <v>79</v>
      </c>
      <c r="C146" s="21"/>
      <c r="D146" s="21">
        <v>0</v>
      </c>
      <c r="E146" s="22"/>
      <c r="F146" s="22"/>
      <c r="G146" s="22"/>
      <c r="H146" s="24"/>
      <c r="I146" s="25"/>
      <c r="J146" s="25"/>
      <c r="K146" s="91">
        <v>0</v>
      </c>
      <c r="L146" s="27">
        <v>0</v>
      </c>
      <c r="M146" s="27">
        <v>170</v>
      </c>
      <c r="N146" s="28">
        <f t="shared" si="33"/>
        <v>170</v>
      </c>
    </row>
    <row r="147" spans="1:14" ht="38.25" x14ac:dyDescent="0.25">
      <c r="A147" s="20" t="s">
        <v>167</v>
      </c>
      <c r="B147" s="88" t="s">
        <v>168</v>
      </c>
      <c r="C147" s="21"/>
      <c r="D147" s="21">
        <v>0</v>
      </c>
      <c r="E147" s="22"/>
      <c r="F147" s="22"/>
      <c r="G147" s="22">
        <v>0</v>
      </c>
      <c r="H147" s="24">
        <v>159</v>
      </c>
      <c r="I147" s="25">
        <v>0</v>
      </c>
      <c r="J147" s="25">
        <v>0</v>
      </c>
      <c r="K147" s="91">
        <f t="shared" si="32"/>
        <v>159</v>
      </c>
      <c r="L147" s="27">
        <v>0</v>
      </c>
      <c r="M147" s="27">
        <v>0</v>
      </c>
      <c r="N147" s="28">
        <f t="shared" si="33"/>
        <v>159</v>
      </c>
    </row>
    <row r="148" spans="1:14" ht="40.5" customHeight="1" x14ac:dyDescent="0.25">
      <c r="A148" s="20" t="s">
        <v>169</v>
      </c>
      <c r="B148" s="88" t="s">
        <v>170</v>
      </c>
      <c r="C148" s="21"/>
      <c r="D148" s="21">
        <v>0</v>
      </c>
      <c r="E148" s="22"/>
      <c r="F148" s="22"/>
      <c r="G148" s="22">
        <v>0</v>
      </c>
      <c r="H148" s="24">
        <v>338.22</v>
      </c>
      <c r="I148" s="25">
        <v>0</v>
      </c>
      <c r="J148" s="25">
        <v>0</v>
      </c>
      <c r="K148" s="91">
        <f t="shared" si="32"/>
        <v>338.22</v>
      </c>
      <c r="L148" s="27">
        <v>0</v>
      </c>
      <c r="M148" s="27">
        <v>0</v>
      </c>
      <c r="N148" s="28">
        <f t="shared" si="33"/>
        <v>338.22</v>
      </c>
    </row>
    <row r="149" spans="1:14" x14ac:dyDescent="0.25">
      <c r="A149" s="125" t="s">
        <v>171</v>
      </c>
      <c r="B149" s="88" t="s">
        <v>79</v>
      </c>
      <c r="C149" s="21">
        <v>2683</v>
      </c>
      <c r="D149" s="21">
        <v>2683</v>
      </c>
      <c r="E149" s="22">
        <v>0</v>
      </c>
      <c r="F149" s="22">
        <v>0</v>
      </c>
      <c r="G149" s="22">
        <f t="shared" si="34"/>
        <v>2683</v>
      </c>
      <c r="H149" s="24">
        <v>10</v>
      </c>
      <c r="I149" s="25">
        <v>0</v>
      </c>
      <c r="J149" s="25">
        <v>0</v>
      </c>
      <c r="K149" s="91">
        <f t="shared" si="32"/>
        <v>2693</v>
      </c>
      <c r="L149" s="27">
        <v>0</v>
      </c>
      <c r="M149" s="27">
        <v>0</v>
      </c>
      <c r="N149" s="28">
        <f t="shared" si="33"/>
        <v>2693</v>
      </c>
    </row>
    <row r="150" spans="1:14" x14ac:dyDescent="0.25">
      <c r="A150" s="125" t="s">
        <v>172</v>
      </c>
      <c r="B150" s="88" t="s">
        <v>79</v>
      </c>
      <c r="C150" s="21">
        <v>1271</v>
      </c>
      <c r="D150" s="21">
        <v>1294</v>
      </c>
      <c r="E150" s="22">
        <v>0</v>
      </c>
      <c r="F150" s="22">
        <v>46</v>
      </c>
      <c r="G150" s="22">
        <f t="shared" si="34"/>
        <v>1340</v>
      </c>
      <c r="H150" s="24">
        <v>0</v>
      </c>
      <c r="I150" s="25">
        <v>0</v>
      </c>
      <c r="J150" s="25">
        <v>0</v>
      </c>
      <c r="K150" s="91">
        <f t="shared" si="32"/>
        <v>1340</v>
      </c>
      <c r="L150" s="27">
        <v>0</v>
      </c>
      <c r="M150" s="27">
        <v>0</v>
      </c>
      <c r="N150" s="28">
        <f t="shared" si="33"/>
        <v>1340</v>
      </c>
    </row>
    <row r="151" spans="1:14" x14ac:dyDescent="0.25">
      <c r="A151" s="125" t="s">
        <v>173</v>
      </c>
      <c r="B151" s="88" t="s">
        <v>79</v>
      </c>
      <c r="C151" s="21">
        <v>47</v>
      </c>
      <c r="D151" s="21">
        <v>71</v>
      </c>
      <c r="E151" s="22">
        <v>0</v>
      </c>
      <c r="F151" s="22">
        <v>0</v>
      </c>
      <c r="G151" s="22">
        <f t="shared" si="34"/>
        <v>71</v>
      </c>
      <c r="H151" s="24">
        <v>0</v>
      </c>
      <c r="I151" s="25">
        <v>0</v>
      </c>
      <c r="J151" s="25">
        <v>0</v>
      </c>
      <c r="K151" s="91">
        <f t="shared" si="32"/>
        <v>71</v>
      </c>
      <c r="L151" s="27">
        <v>0</v>
      </c>
      <c r="M151" s="27">
        <v>0</v>
      </c>
      <c r="N151" s="28">
        <f t="shared" si="33"/>
        <v>71</v>
      </c>
    </row>
    <row r="152" spans="1:14" x14ac:dyDescent="0.25">
      <c r="A152" s="125" t="s">
        <v>174</v>
      </c>
      <c r="B152" s="88" t="s">
        <v>79</v>
      </c>
      <c r="C152" s="21"/>
      <c r="D152" s="21">
        <v>0</v>
      </c>
      <c r="E152" s="22">
        <v>0</v>
      </c>
      <c r="F152" s="22">
        <v>210</v>
      </c>
      <c r="G152" s="22">
        <f t="shared" si="34"/>
        <v>210</v>
      </c>
      <c r="H152" s="24">
        <v>0</v>
      </c>
      <c r="I152" s="25">
        <v>0</v>
      </c>
      <c r="J152" s="25">
        <v>0</v>
      </c>
      <c r="K152" s="91">
        <f t="shared" si="32"/>
        <v>210</v>
      </c>
      <c r="L152" s="27">
        <v>0</v>
      </c>
      <c r="M152" s="27">
        <v>0</v>
      </c>
      <c r="N152" s="28">
        <f t="shared" si="33"/>
        <v>210</v>
      </c>
    </row>
    <row r="153" spans="1:14" x14ac:dyDescent="0.25">
      <c r="A153" s="125" t="s">
        <v>175</v>
      </c>
      <c r="B153" s="88" t="s">
        <v>79</v>
      </c>
      <c r="C153" s="21"/>
      <c r="D153" s="21">
        <v>0</v>
      </c>
      <c r="E153" s="22">
        <v>0</v>
      </c>
      <c r="F153" s="22">
        <v>68</v>
      </c>
      <c r="G153" s="22">
        <f t="shared" si="34"/>
        <v>68</v>
      </c>
      <c r="H153" s="24">
        <v>0</v>
      </c>
      <c r="I153" s="25">
        <v>0</v>
      </c>
      <c r="J153" s="25">
        <v>0</v>
      </c>
      <c r="K153" s="91">
        <f t="shared" si="32"/>
        <v>68</v>
      </c>
      <c r="L153" s="27">
        <v>0</v>
      </c>
      <c r="M153" s="27">
        <v>29</v>
      </c>
      <c r="N153" s="28">
        <f t="shared" si="33"/>
        <v>97</v>
      </c>
    </row>
    <row r="154" spans="1:14" ht="25.5" x14ac:dyDescent="0.25">
      <c r="A154" s="20" t="s">
        <v>176</v>
      </c>
      <c r="B154" s="88" t="s">
        <v>108</v>
      </c>
      <c r="C154" s="21"/>
      <c r="D154" s="21">
        <v>0</v>
      </c>
      <c r="E154" s="22"/>
      <c r="F154" s="22"/>
      <c r="G154" s="22">
        <v>0</v>
      </c>
      <c r="H154" s="24">
        <v>550</v>
      </c>
      <c r="I154" s="25">
        <v>0</v>
      </c>
      <c r="J154" s="25">
        <v>0</v>
      </c>
      <c r="K154" s="91">
        <f t="shared" si="32"/>
        <v>550</v>
      </c>
      <c r="L154" s="27">
        <v>0</v>
      </c>
      <c r="M154" s="27">
        <v>0</v>
      </c>
      <c r="N154" s="28">
        <f t="shared" si="33"/>
        <v>550</v>
      </c>
    </row>
    <row r="155" spans="1:14" x14ac:dyDescent="0.25">
      <c r="A155" s="125" t="s">
        <v>177</v>
      </c>
      <c r="B155" s="88" t="s">
        <v>79</v>
      </c>
      <c r="C155" s="21">
        <v>3550</v>
      </c>
      <c r="D155" s="21">
        <v>3509</v>
      </c>
      <c r="E155" s="22">
        <v>0</v>
      </c>
      <c r="F155" s="22">
        <v>0</v>
      </c>
      <c r="G155" s="22">
        <f t="shared" si="34"/>
        <v>3509</v>
      </c>
      <c r="H155" s="24">
        <v>10</v>
      </c>
      <c r="I155" s="25">
        <v>0</v>
      </c>
      <c r="J155" s="25">
        <v>0</v>
      </c>
      <c r="K155" s="91">
        <f t="shared" ref="K155:K230" si="35">G155+H155+I155+J155</f>
        <v>3519</v>
      </c>
      <c r="L155" s="27">
        <v>0</v>
      </c>
      <c r="M155" s="27">
        <v>0</v>
      </c>
      <c r="N155" s="28">
        <f t="shared" ref="N155:N228" si="36">K155+L155+M155</f>
        <v>3519</v>
      </c>
    </row>
    <row r="156" spans="1:14" x14ac:dyDescent="0.25">
      <c r="A156" s="125" t="s">
        <v>178</v>
      </c>
      <c r="B156" s="88" t="s">
        <v>79</v>
      </c>
      <c r="C156" s="21">
        <v>1466</v>
      </c>
      <c r="D156" s="21">
        <v>1484</v>
      </c>
      <c r="E156" s="22">
        <v>0</v>
      </c>
      <c r="F156" s="22">
        <v>36</v>
      </c>
      <c r="G156" s="22">
        <f t="shared" si="34"/>
        <v>1520</v>
      </c>
      <c r="H156" s="24">
        <v>0</v>
      </c>
      <c r="I156" s="25">
        <v>0</v>
      </c>
      <c r="J156" s="25">
        <v>0</v>
      </c>
      <c r="K156" s="91">
        <f t="shared" si="35"/>
        <v>1520</v>
      </c>
      <c r="L156" s="27">
        <v>0</v>
      </c>
      <c r="M156" s="27">
        <v>0</v>
      </c>
      <c r="N156" s="28">
        <f t="shared" si="36"/>
        <v>1520</v>
      </c>
    </row>
    <row r="157" spans="1:14" x14ac:dyDescent="0.25">
      <c r="A157" s="125" t="s">
        <v>179</v>
      </c>
      <c r="B157" s="88" t="s">
        <v>79</v>
      </c>
      <c r="C157" s="21">
        <v>68</v>
      </c>
      <c r="D157" s="21">
        <v>68</v>
      </c>
      <c r="E157" s="22">
        <v>0</v>
      </c>
      <c r="F157" s="22">
        <v>0</v>
      </c>
      <c r="G157" s="22">
        <f t="shared" si="34"/>
        <v>68</v>
      </c>
      <c r="H157" s="24">
        <v>0</v>
      </c>
      <c r="I157" s="25">
        <v>0</v>
      </c>
      <c r="J157" s="25">
        <v>0</v>
      </c>
      <c r="K157" s="91">
        <f t="shared" si="35"/>
        <v>68</v>
      </c>
      <c r="L157" s="27">
        <v>0</v>
      </c>
      <c r="M157" s="27">
        <v>0</v>
      </c>
      <c r="N157" s="28">
        <f t="shared" si="36"/>
        <v>68</v>
      </c>
    </row>
    <row r="158" spans="1:14" x14ac:dyDescent="0.25">
      <c r="A158" s="125" t="s">
        <v>180</v>
      </c>
      <c r="B158" s="88" t="s">
        <v>79</v>
      </c>
      <c r="C158" s="21"/>
      <c r="D158" s="21">
        <v>0</v>
      </c>
      <c r="E158" s="22">
        <v>0</v>
      </c>
      <c r="F158" s="22">
        <v>210</v>
      </c>
      <c r="G158" s="22">
        <f t="shared" si="34"/>
        <v>210</v>
      </c>
      <c r="H158" s="24">
        <v>0</v>
      </c>
      <c r="I158" s="25">
        <v>0</v>
      </c>
      <c r="J158" s="25">
        <v>0</v>
      </c>
      <c r="K158" s="91">
        <f t="shared" si="35"/>
        <v>210</v>
      </c>
      <c r="L158" s="27">
        <v>0</v>
      </c>
      <c r="M158" s="27">
        <v>0</v>
      </c>
      <c r="N158" s="28">
        <f t="shared" si="36"/>
        <v>210</v>
      </c>
    </row>
    <row r="159" spans="1:14" x14ac:dyDescent="0.25">
      <c r="A159" s="125" t="s">
        <v>181</v>
      </c>
      <c r="B159" s="88" t="s">
        <v>79</v>
      </c>
      <c r="C159" s="21"/>
      <c r="D159" s="21">
        <v>0</v>
      </c>
      <c r="E159" s="22">
        <v>0</v>
      </c>
      <c r="F159" s="22">
        <v>61</v>
      </c>
      <c r="G159" s="22">
        <f t="shared" si="34"/>
        <v>61</v>
      </c>
      <c r="H159" s="24">
        <v>0</v>
      </c>
      <c r="I159" s="25">
        <v>0</v>
      </c>
      <c r="J159" s="25">
        <v>0</v>
      </c>
      <c r="K159" s="91">
        <f t="shared" si="35"/>
        <v>61</v>
      </c>
      <c r="L159" s="27">
        <v>0</v>
      </c>
      <c r="M159" s="27">
        <v>35</v>
      </c>
      <c r="N159" s="28">
        <f t="shared" si="36"/>
        <v>96</v>
      </c>
    </row>
    <row r="160" spans="1:14" x14ac:dyDescent="0.25">
      <c r="A160" s="125" t="s">
        <v>182</v>
      </c>
      <c r="B160" s="88" t="s">
        <v>183</v>
      </c>
      <c r="C160" s="21"/>
      <c r="D160" s="21">
        <v>0</v>
      </c>
      <c r="E160" s="22">
        <v>479.06</v>
      </c>
      <c r="F160" s="22">
        <v>0</v>
      </c>
      <c r="G160" s="22">
        <f t="shared" si="34"/>
        <v>479.06</v>
      </c>
      <c r="H160" s="24">
        <v>0</v>
      </c>
      <c r="I160" s="25">
        <v>0</v>
      </c>
      <c r="J160" s="25">
        <v>0</v>
      </c>
      <c r="K160" s="91">
        <f t="shared" si="35"/>
        <v>479.06</v>
      </c>
      <c r="L160" s="27">
        <v>0</v>
      </c>
      <c r="M160" s="27">
        <v>0</v>
      </c>
      <c r="N160" s="28">
        <f t="shared" si="36"/>
        <v>479.06</v>
      </c>
    </row>
    <row r="161" spans="1:14" x14ac:dyDescent="0.25">
      <c r="A161" s="125" t="s">
        <v>184</v>
      </c>
      <c r="B161" s="88" t="s">
        <v>79</v>
      </c>
      <c r="C161" s="21">
        <v>3539</v>
      </c>
      <c r="D161" s="21">
        <v>3539</v>
      </c>
      <c r="E161" s="22">
        <v>0</v>
      </c>
      <c r="F161" s="22">
        <v>0</v>
      </c>
      <c r="G161" s="22">
        <f t="shared" si="34"/>
        <v>3539</v>
      </c>
      <c r="H161" s="24">
        <v>10</v>
      </c>
      <c r="I161" s="25">
        <v>0</v>
      </c>
      <c r="J161" s="25">
        <v>0</v>
      </c>
      <c r="K161" s="91">
        <f t="shared" si="35"/>
        <v>3549</v>
      </c>
      <c r="L161" s="27">
        <v>0</v>
      </c>
      <c r="M161" s="27">
        <v>0</v>
      </c>
      <c r="N161" s="28">
        <f t="shared" si="36"/>
        <v>3549</v>
      </c>
    </row>
    <row r="162" spans="1:14" x14ac:dyDescent="0.25">
      <c r="A162" s="125" t="s">
        <v>185</v>
      </c>
      <c r="B162" s="88" t="s">
        <v>79</v>
      </c>
      <c r="C162" s="21">
        <v>280.5</v>
      </c>
      <c r="D162" s="21">
        <v>294</v>
      </c>
      <c r="E162" s="22">
        <v>0</v>
      </c>
      <c r="F162" s="22">
        <v>22</v>
      </c>
      <c r="G162" s="22">
        <f t="shared" si="34"/>
        <v>316</v>
      </c>
      <c r="H162" s="24">
        <v>0</v>
      </c>
      <c r="I162" s="25">
        <v>0</v>
      </c>
      <c r="J162" s="25">
        <v>0</v>
      </c>
      <c r="K162" s="91">
        <f t="shared" si="35"/>
        <v>316</v>
      </c>
      <c r="L162" s="27">
        <v>0</v>
      </c>
      <c r="M162" s="27">
        <v>0</v>
      </c>
      <c r="N162" s="28">
        <f t="shared" si="36"/>
        <v>316</v>
      </c>
    </row>
    <row r="163" spans="1:14" x14ac:dyDescent="0.25">
      <c r="A163" s="125" t="s">
        <v>186</v>
      </c>
      <c r="B163" s="88" t="s">
        <v>79</v>
      </c>
      <c r="C163" s="21">
        <v>50</v>
      </c>
      <c r="D163" s="21">
        <v>50</v>
      </c>
      <c r="E163" s="22">
        <v>0</v>
      </c>
      <c r="F163" s="22">
        <v>0</v>
      </c>
      <c r="G163" s="22">
        <f t="shared" si="34"/>
        <v>50</v>
      </c>
      <c r="H163" s="24">
        <v>0</v>
      </c>
      <c r="I163" s="25">
        <v>0</v>
      </c>
      <c r="J163" s="25">
        <v>0</v>
      </c>
      <c r="K163" s="91">
        <f t="shared" si="35"/>
        <v>50</v>
      </c>
      <c r="L163" s="27">
        <v>0</v>
      </c>
      <c r="M163" s="27">
        <v>0</v>
      </c>
      <c r="N163" s="28">
        <f t="shared" si="36"/>
        <v>50</v>
      </c>
    </row>
    <row r="164" spans="1:14" x14ac:dyDescent="0.25">
      <c r="A164" s="125" t="s">
        <v>187</v>
      </c>
      <c r="B164" s="88" t="s">
        <v>79</v>
      </c>
      <c r="C164" s="21">
        <v>8</v>
      </c>
      <c r="D164" s="21">
        <v>8</v>
      </c>
      <c r="E164" s="22">
        <v>0</v>
      </c>
      <c r="F164" s="22">
        <v>0</v>
      </c>
      <c r="G164" s="22">
        <f t="shared" si="34"/>
        <v>8</v>
      </c>
      <c r="H164" s="24">
        <v>0</v>
      </c>
      <c r="I164" s="25">
        <v>0</v>
      </c>
      <c r="J164" s="25">
        <v>0</v>
      </c>
      <c r="K164" s="91">
        <f t="shared" si="35"/>
        <v>8</v>
      </c>
      <c r="L164" s="27">
        <v>0</v>
      </c>
      <c r="M164" s="27">
        <v>0</v>
      </c>
      <c r="N164" s="28">
        <f t="shared" si="36"/>
        <v>8</v>
      </c>
    </row>
    <row r="165" spans="1:14" ht="25.5" x14ac:dyDescent="0.25">
      <c r="A165" s="52" t="s">
        <v>188</v>
      </c>
      <c r="B165" s="93" t="s">
        <v>47</v>
      </c>
      <c r="C165" s="53"/>
      <c r="D165" s="53">
        <v>0</v>
      </c>
      <c r="E165" s="23">
        <v>0</v>
      </c>
      <c r="F165" s="23">
        <v>50</v>
      </c>
      <c r="G165" s="23">
        <f t="shared" si="34"/>
        <v>50</v>
      </c>
      <c r="H165" s="24">
        <v>0</v>
      </c>
      <c r="I165" s="25">
        <v>0</v>
      </c>
      <c r="J165" s="25">
        <v>0</v>
      </c>
      <c r="K165" s="91">
        <f t="shared" si="35"/>
        <v>50</v>
      </c>
      <c r="L165" s="27">
        <v>0</v>
      </c>
      <c r="M165" s="27">
        <v>0</v>
      </c>
      <c r="N165" s="28">
        <f t="shared" si="36"/>
        <v>50</v>
      </c>
    </row>
    <row r="166" spans="1:14" x14ac:dyDescent="0.25">
      <c r="A166" s="125" t="s">
        <v>189</v>
      </c>
      <c r="B166" s="88" t="s">
        <v>79</v>
      </c>
      <c r="C166" s="21"/>
      <c r="D166" s="21">
        <v>0</v>
      </c>
      <c r="E166" s="22">
        <v>0</v>
      </c>
      <c r="F166" s="22">
        <v>420</v>
      </c>
      <c r="G166" s="22">
        <f t="shared" si="34"/>
        <v>420</v>
      </c>
      <c r="H166" s="24">
        <v>0</v>
      </c>
      <c r="I166" s="25">
        <v>0</v>
      </c>
      <c r="J166" s="25">
        <v>0</v>
      </c>
      <c r="K166" s="91">
        <f t="shared" si="35"/>
        <v>420</v>
      </c>
      <c r="L166" s="27">
        <v>0</v>
      </c>
      <c r="M166" s="27">
        <v>0</v>
      </c>
      <c r="N166" s="28">
        <f t="shared" si="36"/>
        <v>420</v>
      </c>
    </row>
    <row r="167" spans="1:14" x14ac:dyDescent="0.25">
      <c r="A167" s="125" t="s">
        <v>190</v>
      </c>
      <c r="B167" s="88" t="s">
        <v>79</v>
      </c>
      <c r="C167" s="21"/>
      <c r="D167" s="21">
        <v>0</v>
      </c>
      <c r="E167" s="22">
        <v>0</v>
      </c>
      <c r="F167" s="22">
        <v>113</v>
      </c>
      <c r="G167" s="22">
        <f t="shared" si="34"/>
        <v>113</v>
      </c>
      <c r="H167" s="24">
        <v>0</v>
      </c>
      <c r="I167" s="25">
        <v>0</v>
      </c>
      <c r="J167" s="25">
        <v>0</v>
      </c>
      <c r="K167" s="91">
        <f t="shared" si="35"/>
        <v>113</v>
      </c>
      <c r="L167" s="27">
        <v>0</v>
      </c>
      <c r="M167" s="27">
        <v>70</v>
      </c>
      <c r="N167" s="28">
        <f t="shared" si="36"/>
        <v>183</v>
      </c>
    </row>
    <row r="168" spans="1:14" ht="25.5" x14ac:dyDescent="0.25">
      <c r="A168" s="20" t="s">
        <v>191</v>
      </c>
      <c r="B168" s="88" t="s">
        <v>79</v>
      </c>
      <c r="C168" s="21"/>
      <c r="D168" s="21">
        <v>0</v>
      </c>
      <c r="E168" s="22"/>
      <c r="F168" s="22"/>
      <c r="G168" s="22"/>
      <c r="H168" s="24"/>
      <c r="I168" s="25"/>
      <c r="J168" s="25"/>
      <c r="K168" s="91">
        <v>0</v>
      </c>
      <c r="L168" s="27">
        <v>0</v>
      </c>
      <c r="M168" s="27">
        <v>80</v>
      </c>
      <c r="N168" s="28">
        <f t="shared" si="36"/>
        <v>80</v>
      </c>
    </row>
    <row r="169" spans="1:14" x14ac:dyDescent="0.25">
      <c r="A169" s="125" t="s">
        <v>192</v>
      </c>
      <c r="B169" s="88" t="s">
        <v>79</v>
      </c>
      <c r="C169" s="21">
        <v>1475</v>
      </c>
      <c r="D169" s="21">
        <v>1475</v>
      </c>
      <c r="E169" s="22">
        <v>0</v>
      </c>
      <c r="F169" s="22">
        <v>0</v>
      </c>
      <c r="G169" s="22">
        <f t="shared" si="34"/>
        <v>1475</v>
      </c>
      <c r="H169" s="24">
        <v>10</v>
      </c>
      <c r="I169" s="25">
        <v>0</v>
      </c>
      <c r="J169" s="25">
        <v>0</v>
      </c>
      <c r="K169" s="91">
        <f t="shared" si="35"/>
        <v>1485</v>
      </c>
      <c r="L169" s="27">
        <v>0</v>
      </c>
      <c r="M169" s="27">
        <v>0</v>
      </c>
      <c r="N169" s="28">
        <f t="shared" si="36"/>
        <v>1485</v>
      </c>
    </row>
    <row r="170" spans="1:14" x14ac:dyDescent="0.25">
      <c r="A170" s="125" t="s">
        <v>193</v>
      </c>
      <c r="B170" s="88" t="s">
        <v>79</v>
      </c>
      <c r="C170" s="21">
        <v>71</v>
      </c>
      <c r="D170" s="21">
        <v>71</v>
      </c>
      <c r="E170" s="22">
        <v>0</v>
      </c>
      <c r="F170" s="22">
        <v>0</v>
      </c>
      <c r="G170" s="22">
        <f t="shared" si="34"/>
        <v>71</v>
      </c>
      <c r="H170" s="24">
        <v>0</v>
      </c>
      <c r="I170" s="25">
        <v>0</v>
      </c>
      <c r="J170" s="25">
        <v>0</v>
      </c>
      <c r="K170" s="91">
        <f t="shared" si="35"/>
        <v>71</v>
      </c>
      <c r="L170" s="27">
        <v>0</v>
      </c>
      <c r="M170" s="27">
        <v>0</v>
      </c>
      <c r="N170" s="28">
        <f t="shared" si="36"/>
        <v>71</v>
      </c>
    </row>
    <row r="171" spans="1:14" x14ac:dyDescent="0.25">
      <c r="A171" s="125" t="s">
        <v>194</v>
      </c>
      <c r="B171" s="88" t="s">
        <v>79</v>
      </c>
      <c r="C171" s="21">
        <v>15</v>
      </c>
      <c r="D171" s="21">
        <v>15</v>
      </c>
      <c r="E171" s="22">
        <v>0</v>
      </c>
      <c r="F171" s="22">
        <v>0</v>
      </c>
      <c r="G171" s="22">
        <f t="shared" si="34"/>
        <v>15</v>
      </c>
      <c r="H171" s="24">
        <v>0</v>
      </c>
      <c r="I171" s="25">
        <v>0</v>
      </c>
      <c r="J171" s="25">
        <v>0</v>
      </c>
      <c r="K171" s="91">
        <f t="shared" si="35"/>
        <v>15</v>
      </c>
      <c r="L171" s="27">
        <v>0</v>
      </c>
      <c r="M171" s="27">
        <v>0</v>
      </c>
      <c r="N171" s="28">
        <f t="shared" si="36"/>
        <v>15</v>
      </c>
    </row>
    <row r="172" spans="1:14" x14ac:dyDescent="0.25">
      <c r="A172" s="125" t="s">
        <v>195</v>
      </c>
      <c r="B172" s="88" t="s">
        <v>79</v>
      </c>
      <c r="C172" s="21"/>
      <c r="D172" s="21">
        <v>0</v>
      </c>
      <c r="E172" s="22">
        <v>0</v>
      </c>
      <c r="F172" s="22">
        <v>95</v>
      </c>
      <c r="G172" s="22">
        <f t="shared" si="34"/>
        <v>95</v>
      </c>
      <c r="H172" s="24">
        <v>0</v>
      </c>
      <c r="I172" s="25">
        <v>0</v>
      </c>
      <c r="J172" s="25">
        <v>0</v>
      </c>
      <c r="K172" s="91">
        <f t="shared" si="35"/>
        <v>95</v>
      </c>
      <c r="L172" s="27">
        <v>0</v>
      </c>
      <c r="M172" s="27">
        <v>0</v>
      </c>
      <c r="N172" s="28">
        <f t="shared" si="36"/>
        <v>95</v>
      </c>
    </row>
    <row r="173" spans="1:14" x14ac:dyDescent="0.25">
      <c r="A173" s="125" t="s">
        <v>196</v>
      </c>
      <c r="B173" s="88" t="s">
        <v>79</v>
      </c>
      <c r="C173" s="21"/>
      <c r="D173" s="21">
        <v>0</v>
      </c>
      <c r="E173" s="22">
        <v>0</v>
      </c>
      <c r="F173" s="22">
        <v>33</v>
      </c>
      <c r="G173" s="22">
        <f t="shared" si="34"/>
        <v>33</v>
      </c>
      <c r="H173" s="24">
        <v>0</v>
      </c>
      <c r="I173" s="25">
        <v>0</v>
      </c>
      <c r="J173" s="25">
        <v>0</v>
      </c>
      <c r="K173" s="91">
        <f t="shared" si="35"/>
        <v>33</v>
      </c>
      <c r="L173" s="27">
        <v>0</v>
      </c>
      <c r="M173" s="27">
        <v>9</v>
      </c>
      <c r="N173" s="28">
        <f t="shared" si="36"/>
        <v>42</v>
      </c>
    </row>
    <row r="174" spans="1:14" ht="53.25" customHeight="1" x14ac:dyDescent="0.25">
      <c r="A174" s="20" t="s">
        <v>197</v>
      </c>
      <c r="B174" s="88" t="s">
        <v>104</v>
      </c>
      <c r="C174" s="21"/>
      <c r="D174" s="21">
        <v>0</v>
      </c>
      <c r="E174" s="22"/>
      <c r="F174" s="22"/>
      <c r="G174" s="22"/>
      <c r="H174" s="24"/>
      <c r="I174" s="25"/>
      <c r="J174" s="25"/>
      <c r="K174" s="91">
        <v>0</v>
      </c>
      <c r="L174" s="27">
        <v>0</v>
      </c>
      <c r="M174" s="27">
        <v>480</v>
      </c>
      <c r="N174" s="28">
        <f t="shared" si="36"/>
        <v>480</v>
      </c>
    </row>
    <row r="175" spans="1:14" ht="15" customHeight="1" x14ac:dyDescent="0.25">
      <c r="A175" s="20" t="s">
        <v>198</v>
      </c>
      <c r="B175" s="88" t="s">
        <v>199</v>
      </c>
      <c r="C175" s="21"/>
      <c r="D175" s="21">
        <v>0</v>
      </c>
      <c r="E175" s="22"/>
      <c r="F175" s="22"/>
      <c r="G175" s="22"/>
      <c r="H175" s="24"/>
      <c r="I175" s="25"/>
      <c r="J175" s="25"/>
      <c r="K175" s="91">
        <v>0</v>
      </c>
      <c r="L175" s="27">
        <v>44</v>
      </c>
      <c r="M175" s="27">
        <v>0</v>
      </c>
      <c r="N175" s="28">
        <f t="shared" si="36"/>
        <v>44</v>
      </c>
    </row>
    <row r="176" spans="1:14" x14ac:dyDescent="0.25">
      <c r="A176" s="125" t="s">
        <v>200</v>
      </c>
      <c r="B176" s="88" t="s">
        <v>79</v>
      </c>
      <c r="C176" s="21">
        <v>621</v>
      </c>
      <c r="D176" s="21">
        <v>621</v>
      </c>
      <c r="E176" s="22">
        <v>0</v>
      </c>
      <c r="F176" s="22">
        <v>0</v>
      </c>
      <c r="G176" s="22">
        <f t="shared" si="34"/>
        <v>621</v>
      </c>
      <c r="H176" s="24">
        <v>10</v>
      </c>
      <c r="I176" s="25">
        <v>0</v>
      </c>
      <c r="J176" s="25">
        <v>0</v>
      </c>
      <c r="K176" s="91">
        <f t="shared" si="35"/>
        <v>631</v>
      </c>
      <c r="L176" s="27">
        <v>0</v>
      </c>
      <c r="M176" s="27">
        <v>0</v>
      </c>
      <c r="N176" s="28">
        <f t="shared" si="36"/>
        <v>631</v>
      </c>
    </row>
    <row r="177" spans="1:14" ht="38.25" x14ac:dyDescent="0.25">
      <c r="A177" s="20" t="s">
        <v>201</v>
      </c>
      <c r="B177" s="88" t="s">
        <v>104</v>
      </c>
      <c r="C177" s="21"/>
      <c r="D177" s="21">
        <v>0</v>
      </c>
      <c r="E177" s="22"/>
      <c r="F177" s="22"/>
      <c r="G177" s="22"/>
      <c r="H177" s="24"/>
      <c r="I177" s="25"/>
      <c r="J177" s="25"/>
      <c r="K177" s="91">
        <v>0</v>
      </c>
      <c r="L177" s="27">
        <v>0</v>
      </c>
      <c r="M177" s="27">
        <v>180</v>
      </c>
      <c r="N177" s="28">
        <f t="shared" si="36"/>
        <v>180</v>
      </c>
    </row>
    <row r="178" spans="1:14" ht="25.5" x14ac:dyDescent="0.25">
      <c r="A178" s="20" t="s">
        <v>202</v>
      </c>
      <c r="B178" s="88" t="s">
        <v>168</v>
      </c>
      <c r="C178" s="21"/>
      <c r="D178" s="21">
        <v>0</v>
      </c>
      <c r="E178" s="22"/>
      <c r="F178" s="22"/>
      <c r="G178" s="22"/>
      <c r="H178" s="24"/>
      <c r="I178" s="25"/>
      <c r="J178" s="25"/>
      <c r="K178" s="91">
        <v>0</v>
      </c>
      <c r="L178" s="27">
        <v>0</v>
      </c>
      <c r="M178" s="27">
        <v>8</v>
      </c>
      <c r="N178" s="28">
        <f t="shared" si="36"/>
        <v>8</v>
      </c>
    </row>
    <row r="179" spans="1:14" x14ac:dyDescent="0.25">
      <c r="A179" s="125" t="s">
        <v>203</v>
      </c>
      <c r="B179" s="88" t="s">
        <v>79</v>
      </c>
      <c r="C179" s="21">
        <v>4672.5</v>
      </c>
      <c r="D179" s="21">
        <v>4691</v>
      </c>
      <c r="E179" s="22">
        <v>0</v>
      </c>
      <c r="F179" s="22">
        <v>7</v>
      </c>
      <c r="G179" s="22">
        <f t="shared" si="34"/>
        <v>4698</v>
      </c>
      <c r="H179" s="24">
        <v>10</v>
      </c>
      <c r="I179" s="25">
        <v>0</v>
      </c>
      <c r="J179" s="25">
        <v>0</v>
      </c>
      <c r="K179" s="91">
        <f t="shared" si="35"/>
        <v>4708</v>
      </c>
      <c r="L179" s="27">
        <v>0</v>
      </c>
      <c r="M179" s="27">
        <v>0</v>
      </c>
      <c r="N179" s="28">
        <f t="shared" si="36"/>
        <v>4708</v>
      </c>
    </row>
    <row r="180" spans="1:14" x14ac:dyDescent="0.25">
      <c r="A180" s="125" t="s">
        <v>204</v>
      </c>
      <c r="B180" s="88" t="s">
        <v>79</v>
      </c>
      <c r="C180" s="21">
        <v>65</v>
      </c>
      <c r="D180" s="21">
        <v>65</v>
      </c>
      <c r="E180" s="22">
        <v>0</v>
      </c>
      <c r="F180" s="22">
        <v>0</v>
      </c>
      <c r="G180" s="22">
        <f t="shared" si="34"/>
        <v>65</v>
      </c>
      <c r="H180" s="24">
        <v>0</v>
      </c>
      <c r="I180" s="25">
        <v>0</v>
      </c>
      <c r="J180" s="25">
        <v>0</v>
      </c>
      <c r="K180" s="91">
        <f t="shared" si="35"/>
        <v>65</v>
      </c>
      <c r="L180" s="27">
        <v>0</v>
      </c>
      <c r="M180" s="27">
        <v>0</v>
      </c>
      <c r="N180" s="28">
        <f t="shared" si="36"/>
        <v>65</v>
      </c>
    </row>
    <row r="181" spans="1:14" x14ac:dyDescent="0.25">
      <c r="A181" s="125" t="s">
        <v>205</v>
      </c>
      <c r="B181" s="88" t="s">
        <v>79</v>
      </c>
      <c r="C181" s="21">
        <v>5</v>
      </c>
      <c r="D181" s="21">
        <v>5</v>
      </c>
      <c r="E181" s="22">
        <v>0</v>
      </c>
      <c r="F181" s="22">
        <v>0</v>
      </c>
      <c r="G181" s="22">
        <f t="shared" si="34"/>
        <v>5</v>
      </c>
      <c r="H181" s="24">
        <v>0</v>
      </c>
      <c r="I181" s="25">
        <v>0</v>
      </c>
      <c r="J181" s="25">
        <v>0</v>
      </c>
      <c r="K181" s="91">
        <f t="shared" si="35"/>
        <v>5</v>
      </c>
      <c r="L181" s="27">
        <v>0</v>
      </c>
      <c r="M181" s="27">
        <v>0</v>
      </c>
      <c r="N181" s="28">
        <f t="shared" si="36"/>
        <v>5</v>
      </c>
    </row>
    <row r="182" spans="1:14" x14ac:dyDescent="0.25">
      <c r="A182" s="124" t="s">
        <v>206</v>
      </c>
      <c r="B182" s="93" t="s">
        <v>79</v>
      </c>
      <c r="C182" s="53"/>
      <c r="D182" s="53">
        <v>0</v>
      </c>
      <c r="E182" s="23">
        <v>0</v>
      </c>
      <c r="F182" s="23">
        <v>280</v>
      </c>
      <c r="G182" s="22">
        <f t="shared" si="34"/>
        <v>280</v>
      </c>
      <c r="H182" s="24">
        <v>0</v>
      </c>
      <c r="I182" s="25">
        <v>0</v>
      </c>
      <c r="J182" s="25">
        <v>0</v>
      </c>
      <c r="K182" s="91">
        <f t="shared" si="35"/>
        <v>280</v>
      </c>
      <c r="L182" s="27">
        <v>0</v>
      </c>
      <c r="M182" s="27">
        <v>0</v>
      </c>
      <c r="N182" s="28">
        <f t="shared" si="36"/>
        <v>280</v>
      </c>
    </row>
    <row r="183" spans="1:14" x14ac:dyDescent="0.25">
      <c r="A183" s="125" t="s">
        <v>207</v>
      </c>
      <c r="B183" s="88" t="s">
        <v>79</v>
      </c>
      <c r="C183" s="21"/>
      <c r="D183" s="21">
        <v>0</v>
      </c>
      <c r="E183" s="23">
        <v>0</v>
      </c>
      <c r="F183" s="23">
        <v>157</v>
      </c>
      <c r="G183" s="22">
        <f t="shared" si="34"/>
        <v>157</v>
      </c>
      <c r="H183" s="24">
        <v>0</v>
      </c>
      <c r="I183" s="25">
        <v>0</v>
      </c>
      <c r="J183" s="25">
        <v>0</v>
      </c>
      <c r="K183" s="91">
        <f t="shared" si="35"/>
        <v>157</v>
      </c>
      <c r="L183" s="27">
        <v>0</v>
      </c>
      <c r="M183" s="27">
        <v>100</v>
      </c>
      <c r="N183" s="28">
        <f t="shared" si="36"/>
        <v>257</v>
      </c>
    </row>
    <row r="184" spans="1:14" x14ac:dyDescent="0.25">
      <c r="A184" s="125" t="s">
        <v>208</v>
      </c>
      <c r="B184" s="88" t="s">
        <v>183</v>
      </c>
      <c r="C184" s="21"/>
      <c r="D184" s="21">
        <v>0</v>
      </c>
      <c r="E184" s="23"/>
      <c r="F184" s="23"/>
      <c r="G184" s="22"/>
      <c r="H184" s="24"/>
      <c r="I184" s="25"/>
      <c r="J184" s="25"/>
      <c r="K184" s="91">
        <v>0</v>
      </c>
      <c r="L184" s="27">
        <v>438.97</v>
      </c>
      <c r="M184" s="27">
        <v>0</v>
      </c>
      <c r="N184" s="28">
        <f t="shared" si="36"/>
        <v>438.97</v>
      </c>
    </row>
    <row r="185" spans="1:14" x14ac:dyDescent="0.25">
      <c r="A185" s="125" t="s">
        <v>209</v>
      </c>
      <c r="B185" s="88" t="s">
        <v>468</v>
      </c>
      <c r="C185" s="21"/>
      <c r="D185" s="21">
        <v>0</v>
      </c>
      <c r="E185" s="22">
        <v>81.45</v>
      </c>
      <c r="F185" s="22">
        <v>0</v>
      </c>
      <c r="G185" s="22">
        <f t="shared" si="34"/>
        <v>81.45</v>
      </c>
      <c r="H185" s="24">
        <v>0</v>
      </c>
      <c r="I185" s="25">
        <v>0</v>
      </c>
      <c r="J185" s="25">
        <v>0</v>
      </c>
      <c r="K185" s="91">
        <f t="shared" si="35"/>
        <v>81.45</v>
      </c>
      <c r="L185" s="27">
        <v>48.73</v>
      </c>
      <c r="M185" s="27">
        <v>0</v>
      </c>
      <c r="N185" s="28">
        <f t="shared" si="36"/>
        <v>130.18</v>
      </c>
    </row>
    <row r="186" spans="1:14" ht="25.5" x14ac:dyDescent="0.25">
      <c r="A186" s="52" t="s">
        <v>210</v>
      </c>
      <c r="B186" s="93" t="s">
        <v>47</v>
      </c>
      <c r="C186" s="53"/>
      <c r="D186" s="53">
        <v>0</v>
      </c>
      <c r="E186" s="23"/>
      <c r="F186" s="23"/>
      <c r="G186" s="22">
        <v>0</v>
      </c>
      <c r="H186" s="24">
        <v>25.8</v>
      </c>
      <c r="I186" s="25">
        <v>0</v>
      </c>
      <c r="J186" s="25">
        <v>0</v>
      </c>
      <c r="K186" s="91">
        <f t="shared" si="35"/>
        <v>25.8</v>
      </c>
      <c r="L186" s="27">
        <v>0</v>
      </c>
      <c r="M186" s="27">
        <v>0</v>
      </c>
      <c r="N186" s="28">
        <f t="shared" si="36"/>
        <v>25.8</v>
      </c>
    </row>
    <row r="187" spans="1:14" x14ac:dyDescent="0.25">
      <c r="A187" s="124" t="s">
        <v>211</v>
      </c>
      <c r="B187" s="93" t="s">
        <v>79</v>
      </c>
      <c r="C187" s="53">
        <v>849</v>
      </c>
      <c r="D187" s="53">
        <v>853</v>
      </c>
      <c r="E187" s="23">
        <v>0</v>
      </c>
      <c r="F187" s="23">
        <v>8</v>
      </c>
      <c r="G187" s="22">
        <f t="shared" si="34"/>
        <v>861</v>
      </c>
      <c r="H187" s="24">
        <v>10</v>
      </c>
      <c r="I187" s="25">
        <v>0</v>
      </c>
      <c r="J187" s="25">
        <v>0</v>
      </c>
      <c r="K187" s="91">
        <f t="shared" si="35"/>
        <v>871</v>
      </c>
      <c r="L187" s="27">
        <v>0</v>
      </c>
      <c r="M187" s="27">
        <v>0</v>
      </c>
      <c r="N187" s="28">
        <f t="shared" si="36"/>
        <v>871</v>
      </c>
    </row>
    <row r="188" spans="1:14" x14ac:dyDescent="0.25">
      <c r="A188" s="125" t="s">
        <v>212</v>
      </c>
      <c r="B188" s="88" t="s">
        <v>79</v>
      </c>
      <c r="C188" s="21">
        <v>88</v>
      </c>
      <c r="D188" s="21">
        <v>68</v>
      </c>
      <c r="E188" s="22">
        <v>0</v>
      </c>
      <c r="F188" s="22">
        <v>0</v>
      </c>
      <c r="G188" s="22">
        <f t="shared" si="34"/>
        <v>68</v>
      </c>
      <c r="H188" s="24">
        <v>0</v>
      </c>
      <c r="I188" s="25">
        <v>0</v>
      </c>
      <c r="J188" s="25">
        <v>0</v>
      </c>
      <c r="K188" s="91">
        <f t="shared" si="35"/>
        <v>68</v>
      </c>
      <c r="L188" s="27">
        <v>0</v>
      </c>
      <c r="M188" s="27">
        <v>0</v>
      </c>
      <c r="N188" s="28">
        <f t="shared" si="36"/>
        <v>68</v>
      </c>
    </row>
    <row r="189" spans="1:14" x14ac:dyDescent="0.25">
      <c r="A189" s="125" t="s">
        <v>213</v>
      </c>
      <c r="B189" s="88" t="s">
        <v>111</v>
      </c>
      <c r="C189" s="21"/>
      <c r="D189" s="21">
        <v>0</v>
      </c>
      <c r="E189" s="22">
        <v>110.52</v>
      </c>
      <c r="F189" s="22">
        <v>0</v>
      </c>
      <c r="G189" s="22">
        <f t="shared" si="34"/>
        <v>110.52</v>
      </c>
      <c r="H189" s="24">
        <v>0</v>
      </c>
      <c r="I189" s="25">
        <v>0</v>
      </c>
      <c r="J189" s="25">
        <v>0</v>
      </c>
      <c r="K189" s="91">
        <f t="shared" si="35"/>
        <v>110.52</v>
      </c>
      <c r="L189" s="27">
        <v>0</v>
      </c>
      <c r="M189" s="27">
        <v>0</v>
      </c>
      <c r="N189" s="28">
        <f t="shared" si="36"/>
        <v>110.52</v>
      </c>
    </row>
    <row r="190" spans="1:14" ht="25.5" x14ac:dyDescent="0.25">
      <c r="A190" s="20" t="s">
        <v>214</v>
      </c>
      <c r="B190" s="88" t="s">
        <v>168</v>
      </c>
      <c r="C190" s="21"/>
      <c r="D190" s="21">
        <v>0</v>
      </c>
      <c r="E190" s="22"/>
      <c r="F190" s="22"/>
      <c r="G190" s="22"/>
      <c r="H190" s="24"/>
      <c r="I190" s="25"/>
      <c r="J190" s="25"/>
      <c r="K190" s="91">
        <v>0</v>
      </c>
      <c r="L190" s="27">
        <v>0</v>
      </c>
      <c r="M190" s="27">
        <v>8</v>
      </c>
      <c r="N190" s="28">
        <f t="shared" si="36"/>
        <v>8</v>
      </c>
    </row>
    <row r="191" spans="1:14" x14ac:dyDescent="0.25">
      <c r="A191" s="125" t="s">
        <v>215</v>
      </c>
      <c r="B191" s="88" t="s">
        <v>79</v>
      </c>
      <c r="C191" s="21">
        <v>956</v>
      </c>
      <c r="D191" s="21">
        <v>956</v>
      </c>
      <c r="E191" s="22">
        <v>0</v>
      </c>
      <c r="F191" s="22">
        <v>0</v>
      </c>
      <c r="G191" s="22">
        <f t="shared" si="34"/>
        <v>956</v>
      </c>
      <c r="H191" s="24">
        <v>10</v>
      </c>
      <c r="I191" s="25">
        <v>0</v>
      </c>
      <c r="J191" s="25">
        <v>0</v>
      </c>
      <c r="K191" s="91">
        <f t="shared" si="35"/>
        <v>966</v>
      </c>
      <c r="L191" s="27">
        <v>0</v>
      </c>
      <c r="M191" s="27">
        <v>0</v>
      </c>
      <c r="N191" s="28">
        <f t="shared" si="36"/>
        <v>966</v>
      </c>
    </row>
    <row r="192" spans="1:14" x14ac:dyDescent="0.25">
      <c r="A192" s="125" t="s">
        <v>216</v>
      </c>
      <c r="B192" s="88" t="s">
        <v>79</v>
      </c>
      <c r="C192" s="21">
        <v>100</v>
      </c>
      <c r="D192" s="21">
        <v>100</v>
      </c>
      <c r="E192" s="22">
        <v>0</v>
      </c>
      <c r="F192" s="22">
        <v>0</v>
      </c>
      <c r="G192" s="22">
        <f t="shared" si="34"/>
        <v>100</v>
      </c>
      <c r="H192" s="24">
        <v>0</v>
      </c>
      <c r="I192" s="25">
        <v>0</v>
      </c>
      <c r="J192" s="25">
        <v>0</v>
      </c>
      <c r="K192" s="91">
        <f t="shared" si="35"/>
        <v>100</v>
      </c>
      <c r="L192" s="27">
        <v>0</v>
      </c>
      <c r="M192" s="27">
        <v>0</v>
      </c>
      <c r="N192" s="28">
        <f t="shared" si="36"/>
        <v>100</v>
      </c>
    </row>
    <row r="193" spans="1:14" x14ac:dyDescent="0.25">
      <c r="A193" s="125" t="s">
        <v>217</v>
      </c>
      <c r="B193" s="88" t="s">
        <v>79</v>
      </c>
      <c r="C193" s="21">
        <v>30</v>
      </c>
      <c r="D193" s="21">
        <v>20</v>
      </c>
      <c r="E193" s="22">
        <v>0</v>
      </c>
      <c r="F193" s="22">
        <v>0</v>
      </c>
      <c r="G193" s="22">
        <f t="shared" si="34"/>
        <v>20</v>
      </c>
      <c r="H193" s="24">
        <v>0</v>
      </c>
      <c r="I193" s="25">
        <v>0</v>
      </c>
      <c r="J193" s="25">
        <v>0</v>
      </c>
      <c r="K193" s="91">
        <f t="shared" si="35"/>
        <v>20</v>
      </c>
      <c r="L193" s="27">
        <v>0</v>
      </c>
      <c r="M193" s="27">
        <v>0</v>
      </c>
      <c r="N193" s="28">
        <f t="shared" si="36"/>
        <v>20</v>
      </c>
    </row>
    <row r="194" spans="1:14" x14ac:dyDescent="0.25">
      <c r="A194" s="125" t="s">
        <v>218</v>
      </c>
      <c r="B194" s="88" t="s">
        <v>79</v>
      </c>
      <c r="C194" s="21">
        <v>250</v>
      </c>
      <c r="D194" s="21">
        <v>250</v>
      </c>
      <c r="E194" s="22">
        <v>0</v>
      </c>
      <c r="F194" s="22">
        <v>0</v>
      </c>
      <c r="G194" s="22">
        <f t="shared" si="34"/>
        <v>250</v>
      </c>
      <c r="H194" s="24">
        <v>0</v>
      </c>
      <c r="I194" s="25">
        <v>0</v>
      </c>
      <c r="J194" s="25">
        <v>0</v>
      </c>
      <c r="K194" s="91">
        <f t="shared" si="35"/>
        <v>250</v>
      </c>
      <c r="L194" s="27">
        <v>0</v>
      </c>
      <c r="M194" s="27">
        <v>0</v>
      </c>
      <c r="N194" s="28">
        <f t="shared" si="36"/>
        <v>250</v>
      </c>
    </row>
    <row r="195" spans="1:14" x14ac:dyDescent="0.25">
      <c r="A195" s="125" t="s">
        <v>219</v>
      </c>
      <c r="B195" s="88" t="s">
        <v>79</v>
      </c>
      <c r="C195" s="21"/>
      <c r="D195" s="21">
        <v>0</v>
      </c>
      <c r="E195" s="22"/>
      <c r="F195" s="22"/>
      <c r="G195" s="22">
        <v>96</v>
      </c>
      <c r="H195" s="24">
        <v>0</v>
      </c>
      <c r="I195" s="25">
        <v>0</v>
      </c>
      <c r="J195" s="25">
        <v>0</v>
      </c>
      <c r="K195" s="91">
        <f t="shared" si="35"/>
        <v>96</v>
      </c>
      <c r="L195" s="27">
        <v>0</v>
      </c>
      <c r="M195" s="27">
        <v>0</v>
      </c>
      <c r="N195" s="28">
        <f t="shared" si="36"/>
        <v>96</v>
      </c>
    </row>
    <row r="196" spans="1:14" x14ac:dyDescent="0.25">
      <c r="A196" s="125" t="s">
        <v>220</v>
      </c>
      <c r="B196" s="88" t="s">
        <v>79</v>
      </c>
      <c r="C196" s="21">
        <v>13241</v>
      </c>
      <c r="D196" s="21">
        <v>14102</v>
      </c>
      <c r="E196" s="22">
        <v>0</v>
      </c>
      <c r="F196" s="22">
        <v>840</v>
      </c>
      <c r="G196" s="22">
        <f t="shared" si="34"/>
        <v>14942</v>
      </c>
      <c r="H196" s="24">
        <v>10</v>
      </c>
      <c r="I196" s="25">
        <v>0</v>
      </c>
      <c r="J196" s="25">
        <v>0</v>
      </c>
      <c r="K196" s="91">
        <f t="shared" si="35"/>
        <v>14952</v>
      </c>
      <c r="L196" s="27">
        <v>0</v>
      </c>
      <c r="M196" s="27">
        <v>0</v>
      </c>
      <c r="N196" s="28">
        <f t="shared" si="36"/>
        <v>14952</v>
      </c>
    </row>
    <row r="197" spans="1:14" x14ac:dyDescent="0.25">
      <c r="A197" s="125" t="s">
        <v>221</v>
      </c>
      <c r="B197" s="88" t="s">
        <v>79</v>
      </c>
      <c r="C197" s="21">
        <v>0</v>
      </c>
      <c r="D197" s="21">
        <v>840</v>
      </c>
      <c r="E197" s="22">
        <v>0</v>
      </c>
      <c r="F197" s="22">
        <v>-840</v>
      </c>
      <c r="G197" s="22">
        <f t="shared" si="34"/>
        <v>0</v>
      </c>
      <c r="H197" s="24">
        <v>0</v>
      </c>
      <c r="I197" s="25">
        <v>0</v>
      </c>
      <c r="J197" s="25">
        <v>0</v>
      </c>
      <c r="K197" s="91">
        <f t="shared" si="35"/>
        <v>0</v>
      </c>
      <c r="L197" s="27">
        <v>0</v>
      </c>
      <c r="M197" s="27">
        <v>0</v>
      </c>
      <c r="N197" s="28">
        <f t="shared" si="36"/>
        <v>0</v>
      </c>
    </row>
    <row r="198" spans="1:14" x14ac:dyDescent="0.25">
      <c r="A198" s="125" t="s">
        <v>222</v>
      </c>
      <c r="B198" s="88" t="s">
        <v>79</v>
      </c>
      <c r="C198" s="21"/>
      <c r="D198" s="21">
        <v>0</v>
      </c>
      <c r="E198" s="22"/>
      <c r="F198" s="22"/>
      <c r="G198" s="22">
        <v>1124</v>
      </c>
      <c r="H198" s="24">
        <v>0</v>
      </c>
      <c r="I198" s="25">
        <v>0</v>
      </c>
      <c r="J198" s="25">
        <v>0</v>
      </c>
      <c r="K198" s="91">
        <f t="shared" si="35"/>
        <v>1124</v>
      </c>
      <c r="L198" s="27">
        <v>0</v>
      </c>
      <c r="M198" s="27">
        <v>0</v>
      </c>
      <c r="N198" s="28">
        <f t="shared" si="36"/>
        <v>1124</v>
      </c>
    </row>
    <row r="199" spans="1:14" x14ac:dyDescent="0.25">
      <c r="A199" s="125" t="s">
        <v>223</v>
      </c>
      <c r="B199" s="88" t="s">
        <v>79</v>
      </c>
      <c r="C199" s="21"/>
      <c r="D199" s="21">
        <v>0</v>
      </c>
      <c r="E199" s="22"/>
      <c r="F199" s="22"/>
      <c r="G199" s="22">
        <v>98</v>
      </c>
      <c r="H199" s="24">
        <v>0</v>
      </c>
      <c r="I199" s="25">
        <v>0</v>
      </c>
      <c r="J199" s="25">
        <v>0</v>
      </c>
      <c r="K199" s="91">
        <f t="shared" si="35"/>
        <v>98</v>
      </c>
      <c r="L199" s="27">
        <v>0</v>
      </c>
      <c r="M199" s="27">
        <v>0</v>
      </c>
      <c r="N199" s="28">
        <f t="shared" si="36"/>
        <v>98</v>
      </c>
    </row>
    <row r="200" spans="1:14" x14ac:dyDescent="0.25">
      <c r="A200" s="125" t="s">
        <v>224</v>
      </c>
      <c r="B200" s="88" t="s">
        <v>79</v>
      </c>
      <c r="C200" s="21">
        <v>14864</v>
      </c>
      <c r="D200" s="21">
        <v>18732</v>
      </c>
      <c r="E200" s="22">
        <v>0</v>
      </c>
      <c r="F200" s="22">
        <v>626</v>
      </c>
      <c r="G200" s="22">
        <f t="shared" si="34"/>
        <v>19358</v>
      </c>
      <c r="H200" s="24">
        <v>10</v>
      </c>
      <c r="I200" s="25">
        <v>0</v>
      </c>
      <c r="J200" s="25">
        <v>0</v>
      </c>
      <c r="K200" s="91">
        <f t="shared" si="35"/>
        <v>19368</v>
      </c>
      <c r="L200" s="27">
        <v>0</v>
      </c>
      <c r="M200" s="27">
        <v>0</v>
      </c>
      <c r="N200" s="28">
        <f t="shared" si="36"/>
        <v>19368</v>
      </c>
    </row>
    <row r="201" spans="1:14" x14ac:dyDescent="0.25">
      <c r="A201" s="125" t="s">
        <v>225</v>
      </c>
      <c r="B201" s="88" t="s">
        <v>79</v>
      </c>
      <c r="C201" s="21">
        <v>0</v>
      </c>
      <c r="D201" s="21">
        <v>626</v>
      </c>
      <c r="E201" s="22">
        <v>0</v>
      </c>
      <c r="F201" s="22">
        <v>-626</v>
      </c>
      <c r="G201" s="22">
        <f t="shared" si="34"/>
        <v>0</v>
      </c>
      <c r="H201" s="24">
        <v>0</v>
      </c>
      <c r="I201" s="25">
        <v>0</v>
      </c>
      <c r="J201" s="25">
        <v>0</v>
      </c>
      <c r="K201" s="91">
        <f t="shared" si="35"/>
        <v>0</v>
      </c>
      <c r="L201" s="27">
        <v>0</v>
      </c>
      <c r="M201" s="27">
        <v>0</v>
      </c>
      <c r="N201" s="28">
        <f t="shared" si="36"/>
        <v>0</v>
      </c>
    </row>
    <row r="202" spans="1:14" ht="41.25" customHeight="1" x14ac:dyDescent="0.25">
      <c r="A202" s="20" t="s">
        <v>226</v>
      </c>
      <c r="B202" s="88" t="s">
        <v>108</v>
      </c>
      <c r="C202" s="21"/>
      <c r="D202" s="21">
        <v>0</v>
      </c>
      <c r="E202" s="22"/>
      <c r="F202" s="22"/>
      <c r="G202" s="22">
        <v>0</v>
      </c>
      <c r="H202" s="24">
        <v>2200</v>
      </c>
      <c r="I202" s="25">
        <v>0</v>
      </c>
      <c r="J202" s="25">
        <v>0</v>
      </c>
      <c r="K202" s="91">
        <f t="shared" si="35"/>
        <v>2200</v>
      </c>
      <c r="L202" s="27">
        <v>0</v>
      </c>
      <c r="M202" s="27">
        <v>0</v>
      </c>
      <c r="N202" s="28">
        <f t="shared" si="36"/>
        <v>2200</v>
      </c>
    </row>
    <row r="203" spans="1:14" ht="25.5" customHeight="1" x14ac:dyDescent="0.25">
      <c r="A203" s="20" t="s">
        <v>227</v>
      </c>
      <c r="B203" s="88" t="s">
        <v>79</v>
      </c>
      <c r="C203" s="21"/>
      <c r="D203" s="21">
        <v>0</v>
      </c>
      <c r="E203" s="22"/>
      <c r="F203" s="22"/>
      <c r="G203" s="22"/>
      <c r="H203" s="24"/>
      <c r="I203" s="25"/>
      <c r="J203" s="25"/>
      <c r="K203" s="91">
        <v>0</v>
      </c>
      <c r="L203" s="27">
        <v>0</v>
      </c>
      <c r="M203" s="27">
        <v>250</v>
      </c>
      <c r="N203" s="28">
        <f t="shared" si="36"/>
        <v>250</v>
      </c>
    </row>
    <row r="204" spans="1:14" ht="41.25" customHeight="1" x14ac:dyDescent="0.25">
      <c r="A204" s="20" t="s">
        <v>228</v>
      </c>
      <c r="B204" s="88" t="s">
        <v>79</v>
      </c>
      <c r="C204" s="21"/>
      <c r="D204" s="21">
        <v>0</v>
      </c>
      <c r="E204" s="22"/>
      <c r="F204" s="22"/>
      <c r="G204" s="22"/>
      <c r="H204" s="24"/>
      <c r="I204" s="25"/>
      <c r="J204" s="25"/>
      <c r="K204" s="91">
        <v>0</v>
      </c>
      <c r="L204" s="27">
        <v>0</v>
      </c>
      <c r="M204" s="27">
        <v>58</v>
      </c>
      <c r="N204" s="28">
        <f t="shared" si="36"/>
        <v>58</v>
      </c>
    </row>
    <row r="205" spans="1:14" ht="25.5" customHeight="1" x14ac:dyDescent="0.25">
      <c r="A205" s="20" t="s">
        <v>229</v>
      </c>
      <c r="B205" s="88" t="s">
        <v>79</v>
      </c>
      <c r="C205" s="21"/>
      <c r="D205" s="21">
        <v>0</v>
      </c>
      <c r="E205" s="22"/>
      <c r="F205" s="22"/>
      <c r="G205" s="22"/>
      <c r="H205" s="24"/>
      <c r="I205" s="25"/>
      <c r="J205" s="25"/>
      <c r="K205" s="91">
        <v>0</v>
      </c>
      <c r="L205" s="27">
        <v>0</v>
      </c>
      <c r="M205" s="27">
        <v>210</v>
      </c>
      <c r="N205" s="28">
        <f t="shared" si="36"/>
        <v>210</v>
      </c>
    </row>
    <row r="206" spans="1:14" ht="24.75" customHeight="1" x14ac:dyDescent="0.25">
      <c r="A206" s="20" t="s">
        <v>230</v>
      </c>
      <c r="B206" s="88" t="s">
        <v>79</v>
      </c>
      <c r="C206" s="21"/>
      <c r="D206" s="21">
        <v>0</v>
      </c>
      <c r="E206" s="22"/>
      <c r="F206" s="22"/>
      <c r="G206" s="22"/>
      <c r="H206" s="24"/>
      <c r="I206" s="25"/>
      <c r="J206" s="25"/>
      <c r="K206" s="91">
        <v>0</v>
      </c>
      <c r="L206" s="27">
        <v>0</v>
      </c>
      <c r="M206" s="27">
        <v>315</v>
      </c>
      <c r="N206" s="28">
        <f t="shared" si="36"/>
        <v>315</v>
      </c>
    </row>
    <row r="207" spans="1:14" x14ac:dyDescent="0.25">
      <c r="A207" s="20" t="s">
        <v>231</v>
      </c>
      <c r="B207" s="88" t="s">
        <v>79</v>
      </c>
      <c r="C207" s="21"/>
      <c r="D207" s="21">
        <v>0</v>
      </c>
      <c r="E207" s="22"/>
      <c r="F207" s="22"/>
      <c r="G207" s="22">
        <v>0</v>
      </c>
      <c r="H207" s="24">
        <v>10</v>
      </c>
      <c r="I207" s="25">
        <v>0</v>
      </c>
      <c r="J207" s="25">
        <v>0</v>
      </c>
      <c r="K207" s="91">
        <f t="shared" si="35"/>
        <v>10</v>
      </c>
      <c r="L207" s="27">
        <v>0</v>
      </c>
      <c r="M207" s="27">
        <v>0</v>
      </c>
      <c r="N207" s="28">
        <f t="shared" si="36"/>
        <v>10</v>
      </c>
    </row>
    <row r="208" spans="1:14" ht="25.5" x14ac:dyDescent="0.25">
      <c r="A208" s="20" t="s">
        <v>232</v>
      </c>
      <c r="B208" s="88" t="s">
        <v>47</v>
      </c>
      <c r="C208" s="21"/>
      <c r="D208" s="21">
        <v>0</v>
      </c>
      <c r="E208" s="22"/>
      <c r="F208" s="22"/>
      <c r="G208" s="22">
        <v>0</v>
      </c>
      <c r="H208" s="24">
        <v>132</v>
      </c>
      <c r="I208" s="25">
        <v>0</v>
      </c>
      <c r="J208" s="25">
        <v>0</v>
      </c>
      <c r="K208" s="91">
        <f t="shared" si="35"/>
        <v>132</v>
      </c>
      <c r="L208" s="27">
        <v>0</v>
      </c>
      <c r="M208" s="27">
        <v>0</v>
      </c>
      <c r="N208" s="28">
        <f t="shared" si="36"/>
        <v>132</v>
      </c>
    </row>
    <row r="209" spans="1:14" x14ac:dyDescent="0.25">
      <c r="A209" s="125" t="s">
        <v>233</v>
      </c>
      <c r="B209" s="88" t="s">
        <v>79</v>
      </c>
      <c r="C209" s="21">
        <v>280</v>
      </c>
      <c r="D209" s="21">
        <v>427</v>
      </c>
      <c r="E209" s="22">
        <v>0</v>
      </c>
      <c r="F209" s="22">
        <v>0</v>
      </c>
      <c r="G209" s="22">
        <f t="shared" si="34"/>
        <v>427</v>
      </c>
      <c r="H209" s="24">
        <v>0</v>
      </c>
      <c r="I209" s="25">
        <v>0</v>
      </c>
      <c r="J209" s="25">
        <v>0</v>
      </c>
      <c r="K209" s="91">
        <f t="shared" si="35"/>
        <v>427</v>
      </c>
      <c r="L209" s="27">
        <v>0</v>
      </c>
      <c r="M209" s="27">
        <v>0</v>
      </c>
      <c r="N209" s="28">
        <f t="shared" si="36"/>
        <v>427</v>
      </c>
    </row>
    <row r="210" spans="1:14" ht="25.5" x14ac:dyDescent="0.25">
      <c r="A210" s="20" t="s">
        <v>234</v>
      </c>
      <c r="B210" s="88" t="s">
        <v>79</v>
      </c>
      <c r="C210" s="21"/>
      <c r="D210" s="21">
        <v>0</v>
      </c>
      <c r="E210" s="22">
        <v>0</v>
      </c>
      <c r="F210" s="22">
        <v>100</v>
      </c>
      <c r="G210" s="22">
        <f t="shared" si="34"/>
        <v>100</v>
      </c>
      <c r="H210" s="24">
        <v>0</v>
      </c>
      <c r="I210" s="25">
        <v>0</v>
      </c>
      <c r="J210" s="25">
        <v>0</v>
      </c>
      <c r="K210" s="91">
        <f t="shared" si="35"/>
        <v>100</v>
      </c>
      <c r="L210" s="27">
        <v>0</v>
      </c>
      <c r="M210" s="27">
        <v>0</v>
      </c>
      <c r="N210" s="28">
        <f t="shared" si="36"/>
        <v>100</v>
      </c>
    </row>
    <row r="211" spans="1:14" ht="38.25" x14ac:dyDescent="0.25">
      <c r="A211" s="20" t="s">
        <v>235</v>
      </c>
      <c r="B211" s="88" t="s">
        <v>236</v>
      </c>
      <c r="C211" s="21"/>
      <c r="D211" s="21">
        <v>0</v>
      </c>
      <c r="E211" s="22"/>
      <c r="F211" s="22"/>
      <c r="G211" s="22">
        <v>0</v>
      </c>
      <c r="H211" s="24">
        <v>300</v>
      </c>
      <c r="I211" s="25">
        <v>0</v>
      </c>
      <c r="J211" s="25">
        <v>0</v>
      </c>
      <c r="K211" s="91">
        <f t="shared" si="35"/>
        <v>300</v>
      </c>
      <c r="L211" s="27">
        <v>0</v>
      </c>
      <c r="M211" s="27">
        <v>0</v>
      </c>
      <c r="N211" s="28">
        <f t="shared" si="36"/>
        <v>300</v>
      </c>
    </row>
    <row r="212" spans="1:14" ht="25.5" x14ac:dyDescent="0.25">
      <c r="A212" s="20" t="s">
        <v>237</v>
      </c>
      <c r="B212" s="88" t="s">
        <v>79</v>
      </c>
      <c r="C212" s="21"/>
      <c r="D212" s="21">
        <v>0</v>
      </c>
      <c r="E212" s="22">
        <v>0</v>
      </c>
      <c r="F212" s="22">
        <v>100</v>
      </c>
      <c r="G212" s="22">
        <f t="shared" si="34"/>
        <v>100</v>
      </c>
      <c r="H212" s="24">
        <v>0</v>
      </c>
      <c r="I212" s="25">
        <v>0</v>
      </c>
      <c r="J212" s="25">
        <v>0</v>
      </c>
      <c r="K212" s="91">
        <f t="shared" si="35"/>
        <v>100</v>
      </c>
      <c r="L212" s="27">
        <v>0</v>
      </c>
      <c r="M212" s="27">
        <v>0</v>
      </c>
      <c r="N212" s="28">
        <f t="shared" si="36"/>
        <v>100</v>
      </c>
    </row>
    <row r="213" spans="1:14" x14ac:dyDescent="0.25">
      <c r="A213" s="125" t="s">
        <v>238</v>
      </c>
      <c r="B213" s="88" t="s">
        <v>79</v>
      </c>
      <c r="C213" s="21"/>
      <c r="D213" s="21">
        <v>0</v>
      </c>
      <c r="E213" s="22">
        <v>0</v>
      </c>
      <c r="F213" s="22">
        <v>350</v>
      </c>
      <c r="G213" s="22">
        <f t="shared" si="34"/>
        <v>350</v>
      </c>
      <c r="H213" s="24">
        <v>0</v>
      </c>
      <c r="I213" s="25">
        <v>0</v>
      </c>
      <c r="J213" s="25">
        <v>0</v>
      </c>
      <c r="K213" s="91">
        <f t="shared" si="35"/>
        <v>350</v>
      </c>
      <c r="L213" s="27">
        <v>0</v>
      </c>
      <c r="M213" s="27">
        <v>0</v>
      </c>
      <c r="N213" s="28">
        <f t="shared" si="36"/>
        <v>350</v>
      </c>
    </row>
    <row r="214" spans="1:14" x14ac:dyDescent="0.25">
      <c r="A214" s="125" t="s">
        <v>239</v>
      </c>
      <c r="B214" s="88" t="s">
        <v>79</v>
      </c>
      <c r="C214" s="21"/>
      <c r="D214" s="21">
        <v>0</v>
      </c>
      <c r="E214" s="22">
        <v>0</v>
      </c>
      <c r="F214" s="22">
        <v>1100</v>
      </c>
      <c r="G214" s="22">
        <f t="shared" si="34"/>
        <v>1100</v>
      </c>
      <c r="H214" s="24">
        <v>0</v>
      </c>
      <c r="I214" s="25">
        <v>0</v>
      </c>
      <c r="J214" s="25">
        <v>0</v>
      </c>
      <c r="K214" s="91">
        <f t="shared" si="35"/>
        <v>1100</v>
      </c>
      <c r="L214" s="27">
        <v>0</v>
      </c>
      <c r="M214" s="27">
        <v>0</v>
      </c>
      <c r="N214" s="28">
        <f t="shared" si="36"/>
        <v>1100</v>
      </c>
    </row>
    <row r="215" spans="1:14" x14ac:dyDescent="0.25">
      <c r="A215" s="125" t="s">
        <v>240</v>
      </c>
      <c r="B215" s="88" t="s">
        <v>79</v>
      </c>
      <c r="C215" s="21"/>
      <c r="D215" s="21">
        <v>0</v>
      </c>
      <c r="E215" s="22">
        <v>0</v>
      </c>
      <c r="F215" s="22">
        <v>90</v>
      </c>
      <c r="G215" s="22">
        <f t="shared" si="34"/>
        <v>90</v>
      </c>
      <c r="H215" s="24">
        <v>0</v>
      </c>
      <c r="I215" s="25">
        <v>0</v>
      </c>
      <c r="J215" s="25">
        <v>0</v>
      </c>
      <c r="K215" s="91">
        <f t="shared" si="35"/>
        <v>90</v>
      </c>
      <c r="L215" s="27">
        <v>0</v>
      </c>
      <c r="M215" s="27">
        <v>0</v>
      </c>
      <c r="N215" s="28">
        <f t="shared" si="36"/>
        <v>90</v>
      </c>
    </row>
    <row r="216" spans="1:14" ht="25.5" x14ac:dyDescent="0.25">
      <c r="A216" s="20" t="s">
        <v>241</v>
      </c>
      <c r="B216" s="88" t="s">
        <v>79</v>
      </c>
      <c r="C216" s="21"/>
      <c r="D216" s="21">
        <v>0</v>
      </c>
      <c r="E216" s="22">
        <v>0</v>
      </c>
      <c r="F216" s="22">
        <v>100</v>
      </c>
      <c r="G216" s="22">
        <f t="shared" si="34"/>
        <v>100</v>
      </c>
      <c r="H216" s="24">
        <v>0</v>
      </c>
      <c r="I216" s="25">
        <v>0</v>
      </c>
      <c r="J216" s="25">
        <v>0</v>
      </c>
      <c r="K216" s="91">
        <f t="shared" si="35"/>
        <v>100</v>
      </c>
      <c r="L216" s="27">
        <v>0</v>
      </c>
      <c r="M216" s="27">
        <v>0</v>
      </c>
      <c r="N216" s="28">
        <f t="shared" si="36"/>
        <v>100</v>
      </c>
    </row>
    <row r="217" spans="1:14" x14ac:dyDescent="0.25">
      <c r="A217" s="125" t="s">
        <v>242</v>
      </c>
      <c r="B217" s="88" t="s">
        <v>79</v>
      </c>
      <c r="C217" s="21"/>
      <c r="D217" s="21">
        <v>0</v>
      </c>
      <c r="E217" s="22">
        <v>0</v>
      </c>
      <c r="F217" s="22">
        <v>30</v>
      </c>
      <c r="G217" s="22">
        <f t="shared" si="34"/>
        <v>30</v>
      </c>
      <c r="H217" s="24">
        <v>0</v>
      </c>
      <c r="I217" s="25">
        <v>0</v>
      </c>
      <c r="J217" s="25">
        <v>0</v>
      </c>
      <c r="K217" s="91">
        <f t="shared" si="35"/>
        <v>30</v>
      </c>
      <c r="L217" s="27">
        <v>0</v>
      </c>
      <c r="M217" s="27">
        <v>0</v>
      </c>
      <c r="N217" s="28">
        <f t="shared" si="36"/>
        <v>30</v>
      </c>
    </row>
    <row r="218" spans="1:14" ht="25.5" x14ac:dyDescent="0.25">
      <c r="A218" s="52" t="s">
        <v>243</v>
      </c>
      <c r="B218" s="93" t="s">
        <v>79</v>
      </c>
      <c r="C218" s="53"/>
      <c r="D218" s="53">
        <v>0</v>
      </c>
      <c r="E218" s="23">
        <v>0</v>
      </c>
      <c r="F218" s="23">
        <v>160</v>
      </c>
      <c r="G218" s="23">
        <f t="shared" si="34"/>
        <v>160</v>
      </c>
      <c r="H218" s="24">
        <v>0</v>
      </c>
      <c r="I218" s="25">
        <v>0</v>
      </c>
      <c r="J218" s="25">
        <v>0</v>
      </c>
      <c r="K218" s="91">
        <f t="shared" si="35"/>
        <v>160</v>
      </c>
      <c r="L218" s="27">
        <v>0</v>
      </c>
      <c r="M218" s="27">
        <v>0</v>
      </c>
      <c r="N218" s="28">
        <f t="shared" si="36"/>
        <v>160</v>
      </c>
    </row>
    <row r="219" spans="1:14" x14ac:dyDescent="0.25">
      <c r="A219" s="125" t="s">
        <v>244</v>
      </c>
      <c r="B219" s="88" t="s">
        <v>79</v>
      </c>
      <c r="C219" s="21"/>
      <c r="D219" s="21">
        <v>0</v>
      </c>
      <c r="E219" s="22">
        <v>0</v>
      </c>
      <c r="F219" s="22">
        <v>300</v>
      </c>
      <c r="G219" s="22">
        <f t="shared" si="34"/>
        <v>300</v>
      </c>
      <c r="H219" s="24">
        <v>0</v>
      </c>
      <c r="I219" s="25">
        <v>0</v>
      </c>
      <c r="J219" s="25">
        <v>0</v>
      </c>
      <c r="K219" s="91">
        <f t="shared" si="35"/>
        <v>300</v>
      </c>
      <c r="L219" s="27">
        <v>0</v>
      </c>
      <c r="M219" s="27">
        <v>0</v>
      </c>
      <c r="N219" s="28">
        <f t="shared" si="36"/>
        <v>300</v>
      </c>
    </row>
    <row r="220" spans="1:14" ht="25.5" x14ac:dyDescent="0.25">
      <c r="A220" s="20" t="s">
        <v>245</v>
      </c>
      <c r="B220" s="88" t="s">
        <v>79</v>
      </c>
      <c r="C220" s="21"/>
      <c r="D220" s="21">
        <v>0</v>
      </c>
      <c r="E220" s="22">
        <v>0</v>
      </c>
      <c r="F220" s="22">
        <v>140</v>
      </c>
      <c r="G220" s="22">
        <f t="shared" si="34"/>
        <v>140</v>
      </c>
      <c r="H220" s="24">
        <v>0</v>
      </c>
      <c r="I220" s="25">
        <v>0</v>
      </c>
      <c r="J220" s="25">
        <v>0</v>
      </c>
      <c r="K220" s="91">
        <f t="shared" si="35"/>
        <v>140</v>
      </c>
      <c r="L220" s="27">
        <v>0</v>
      </c>
      <c r="M220" s="27">
        <v>0</v>
      </c>
      <c r="N220" s="28">
        <f t="shared" si="36"/>
        <v>140</v>
      </c>
    </row>
    <row r="221" spans="1:14" x14ac:dyDescent="0.25">
      <c r="A221" s="125" t="s">
        <v>246</v>
      </c>
      <c r="B221" s="88" t="s">
        <v>79</v>
      </c>
      <c r="C221" s="21"/>
      <c r="D221" s="21">
        <v>0</v>
      </c>
      <c r="E221" s="22">
        <v>0</v>
      </c>
      <c r="F221" s="22">
        <v>150</v>
      </c>
      <c r="G221" s="22">
        <f t="shared" si="34"/>
        <v>150</v>
      </c>
      <c r="H221" s="24">
        <v>0</v>
      </c>
      <c r="I221" s="25">
        <v>0</v>
      </c>
      <c r="J221" s="25">
        <v>0</v>
      </c>
      <c r="K221" s="91">
        <f t="shared" si="35"/>
        <v>150</v>
      </c>
      <c r="L221" s="27">
        <v>0</v>
      </c>
      <c r="M221" s="27">
        <v>0</v>
      </c>
      <c r="N221" s="28">
        <f t="shared" si="36"/>
        <v>150</v>
      </c>
    </row>
    <row r="222" spans="1:14" x14ac:dyDescent="0.25">
      <c r="A222" s="125" t="s">
        <v>247</v>
      </c>
      <c r="B222" s="88" t="s">
        <v>79</v>
      </c>
      <c r="C222" s="21"/>
      <c r="D222" s="21">
        <v>0</v>
      </c>
      <c r="E222" s="22">
        <v>0</v>
      </c>
      <c r="F222" s="22">
        <v>150</v>
      </c>
      <c r="G222" s="22">
        <f t="shared" si="34"/>
        <v>150</v>
      </c>
      <c r="H222" s="24">
        <v>0</v>
      </c>
      <c r="I222" s="25">
        <v>0</v>
      </c>
      <c r="J222" s="25">
        <v>0</v>
      </c>
      <c r="K222" s="91">
        <f t="shared" si="35"/>
        <v>150</v>
      </c>
      <c r="L222" s="27">
        <v>0</v>
      </c>
      <c r="M222" s="27">
        <v>0</v>
      </c>
      <c r="N222" s="28">
        <f t="shared" si="36"/>
        <v>150</v>
      </c>
    </row>
    <row r="223" spans="1:14" x14ac:dyDescent="0.25">
      <c r="A223" s="125" t="s">
        <v>248</v>
      </c>
      <c r="B223" s="88" t="s">
        <v>79</v>
      </c>
      <c r="C223" s="21"/>
      <c r="D223" s="21">
        <v>0</v>
      </c>
      <c r="E223" s="22">
        <v>0</v>
      </c>
      <c r="F223" s="22">
        <v>500</v>
      </c>
      <c r="G223" s="22">
        <f t="shared" si="34"/>
        <v>500</v>
      </c>
      <c r="H223" s="24">
        <v>0</v>
      </c>
      <c r="I223" s="25">
        <v>0</v>
      </c>
      <c r="J223" s="25">
        <v>0</v>
      </c>
      <c r="K223" s="91">
        <f t="shared" si="35"/>
        <v>500</v>
      </c>
      <c r="L223" s="27">
        <v>0</v>
      </c>
      <c r="M223" s="27">
        <v>0</v>
      </c>
      <c r="N223" s="28">
        <f t="shared" si="36"/>
        <v>500</v>
      </c>
    </row>
    <row r="224" spans="1:14" x14ac:dyDescent="0.25">
      <c r="A224" s="125" t="s">
        <v>249</v>
      </c>
      <c r="B224" s="88" t="s">
        <v>79</v>
      </c>
      <c r="C224" s="21"/>
      <c r="D224" s="21">
        <v>0</v>
      </c>
      <c r="E224" s="22">
        <v>0</v>
      </c>
      <c r="F224" s="22">
        <v>200</v>
      </c>
      <c r="G224" s="22">
        <f t="shared" si="34"/>
        <v>200</v>
      </c>
      <c r="H224" s="24">
        <v>0</v>
      </c>
      <c r="I224" s="25">
        <v>0</v>
      </c>
      <c r="J224" s="25">
        <v>0</v>
      </c>
      <c r="K224" s="91">
        <f t="shared" si="35"/>
        <v>200</v>
      </c>
      <c r="L224" s="27">
        <v>0</v>
      </c>
      <c r="M224" s="27">
        <v>0</v>
      </c>
      <c r="N224" s="28">
        <f t="shared" si="36"/>
        <v>200</v>
      </c>
    </row>
    <row r="225" spans="1:14" x14ac:dyDescent="0.25">
      <c r="A225" s="125" t="s">
        <v>250</v>
      </c>
      <c r="B225" s="88" t="s">
        <v>79</v>
      </c>
      <c r="C225" s="21"/>
      <c r="D225" s="21">
        <v>0</v>
      </c>
      <c r="E225" s="22">
        <v>0</v>
      </c>
      <c r="F225" s="22">
        <v>70</v>
      </c>
      <c r="G225" s="22">
        <f t="shared" si="34"/>
        <v>70</v>
      </c>
      <c r="H225" s="24">
        <v>0</v>
      </c>
      <c r="I225" s="25">
        <v>0</v>
      </c>
      <c r="J225" s="25">
        <v>0</v>
      </c>
      <c r="K225" s="91">
        <f t="shared" si="35"/>
        <v>70</v>
      </c>
      <c r="L225" s="27">
        <v>0</v>
      </c>
      <c r="M225" s="27">
        <v>0</v>
      </c>
      <c r="N225" s="28">
        <f t="shared" si="36"/>
        <v>70</v>
      </c>
    </row>
    <row r="226" spans="1:14" x14ac:dyDescent="0.25">
      <c r="A226" s="125" t="s">
        <v>251</v>
      </c>
      <c r="B226" s="88" t="s">
        <v>79</v>
      </c>
      <c r="C226" s="21"/>
      <c r="D226" s="21">
        <v>0</v>
      </c>
      <c r="E226" s="22">
        <v>0</v>
      </c>
      <c r="F226" s="22">
        <v>70</v>
      </c>
      <c r="G226" s="22">
        <f t="shared" si="34"/>
        <v>70</v>
      </c>
      <c r="H226" s="24">
        <v>0</v>
      </c>
      <c r="I226" s="25">
        <v>0</v>
      </c>
      <c r="J226" s="25">
        <v>0</v>
      </c>
      <c r="K226" s="91">
        <f t="shared" si="35"/>
        <v>70</v>
      </c>
      <c r="L226" s="27">
        <v>0</v>
      </c>
      <c r="M226" s="27">
        <v>0</v>
      </c>
      <c r="N226" s="28">
        <f t="shared" si="36"/>
        <v>70</v>
      </c>
    </row>
    <row r="227" spans="1:14" x14ac:dyDescent="0.25">
      <c r="A227" s="125" t="s">
        <v>252</v>
      </c>
      <c r="B227" s="88" t="s">
        <v>79</v>
      </c>
      <c r="C227" s="21"/>
      <c r="D227" s="21">
        <v>0</v>
      </c>
      <c r="E227" s="22">
        <v>0</v>
      </c>
      <c r="F227" s="22">
        <v>100</v>
      </c>
      <c r="G227" s="22">
        <f t="shared" si="34"/>
        <v>100</v>
      </c>
      <c r="H227" s="24">
        <v>0</v>
      </c>
      <c r="I227" s="25">
        <v>0</v>
      </c>
      <c r="J227" s="25">
        <v>0</v>
      </c>
      <c r="K227" s="91">
        <f t="shared" si="35"/>
        <v>100</v>
      </c>
      <c r="L227" s="27">
        <v>0</v>
      </c>
      <c r="M227" s="27">
        <v>0</v>
      </c>
      <c r="N227" s="28">
        <f t="shared" si="36"/>
        <v>100</v>
      </c>
    </row>
    <row r="228" spans="1:14" ht="42.75" customHeight="1" x14ac:dyDescent="0.25">
      <c r="A228" s="20" t="s">
        <v>253</v>
      </c>
      <c r="B228" s="88"/>
      <c r="C228" s="21"/>
      <c r="D228" s="21">
        <v>0</v>
      </c>
      <c r="E228" s="22">
        <v>0</v>
      </c>
      <c r="F228" s="22">
        <v>75</v>
      </c>
      <c r="G228" s="22">
        <f t="shared" si="34"/>
        <v>75</v>
      </c>
      <c r="H228" s="24">
        <v>0</v>
      </c>
      <c r="I228" s="25">
        <v>0</v>
      </c>
      <c r="J228" s="25">
        <v>0</v>
      </c>
      <c r="K228" s="91">
        <f t="shared" si="35"/>
        <v>75</v>
      </c>
      <c r="L228" s="27">
        <v>0</v>
      </c>
      <c r="M228" s="27">
        <v>0</v>
      </c>
      <c r="N228" s="28">
        <f t="shared" si="36"/>
        <v>75</v>
      </c>
    </row>
    <row r="229" spans="1:14" ht="25.5" x14ac:dyDescent="0.25">
      <c r="A229" s="20" t="s">
        <v>254</v>
      </c>
      <c r="B229" s="88" t="s">
        <v>79</v>
      </c>
      <c r="C229" s="21"/>
      <c r="D229" s="21">
        <v>0</v>
      </c>
      <c r="E229" s="22">
        <v>0</v>
      </c>
      <c r="F229" s="22">
        <v>50</v>
      </c>
      <c r="G229" s="22">
        <f t="shared" si="34"/>
        <v>50</v>
      </c>
      <c r="H229" s="24">
        <v>0</v>
      </c>
      <c r="I229" s="25">
        <v>0</v>
      </c>
      <c r="J229" s="25">
        <v>0</v>
      </c>
      <c r="K229" s="91">
        <f t="shared" si="35"/>
        <v>50</v>
      </c>
      <c r="L229" s="27">
        <v>0</v>
      </c>
      <c r="M229" s="27">
        <v>0</v>
      </c>
      <c r="N229" s="28">
        <f t="shared" ref="N229:N257" si="37">K229+L229+M229</f>
        <v>50</v>
      </c>
    </row>
    <row r="230" spans="1:14" x14ac:dyDescent="0.25">
      <c r="A230" s="125" t="s">
        <v>255</v>
      </c>
      <c r="B230" s="88" t="s">
        <v>79</v>
      </c>
      <c r="C230" s="21">
        <v>1700</v>
      </c>
      <c r="D230" s="21">
        <v>1700</v>
      </c>
      <c r="E230" s="22">
        <v>0</v>
      </c>
      <c r="F230" s="22">
        <v>0</v>
      </c>
      <c r="G230" s="22">
        <f t="shared" si="34"/>
        <v>1700</v>
      </c>
      <c r="H230" s="24">
        <v>0</v>
      </c>
      <c r="I230" s="25">
        <v>0</v>
      </c>
      <c r="J230" s="25">
        <v>0</v>
      </c>
      <c r="K230" s="91">
        <f t="shared" si="35"/>
        <v>1700</v>
      </c>
      <c r="L230" s="27">
        <v>0</v>
      </c>
      <c r="M230" s="27">
        <v>0</v>
      </c>
      <c r="N230" s="28">
        <f t="shared" si="37"/>
        <v>1700</v>
      </c>
    </row>
    <row r="231" spans="1:14" ht="25.5" customHeight="1" x14ac:dyDescent="0.25">
      <c r="A231" s="20" t="s">
        <v>256</v>
      </c>
      <c r="B231" s="88" t="s">
        <v>79</v>
      </c>
      <c r="C231" s="21">
        <v>1700</v>
      </c>
      <c r="D231" s="21">
        <v>1700</v>
      </c>
      <c r="E231" s="22">
        <v>0</v>
      </c>
      <c r="F231" s="22">
        <v>0</v>
      </c>
      <c r="G231" s="22">
        <f t="shared" si="34"/>
        <v>1700</v>
      </c>
      <c r="H231" s="24">
        <v>0</v>
      </c>
      <c r="I231" s="25">
        <v>0</v>
      </c>
      <c r="J231" s="25">
        <v>0</v>
      </c>
      <c r="K231" s="91">
        <f t="shared" ref="K231:K257" si="38">G231+H231+I231+J231</f>
        <v>1700</v>
      </c>
      <c r="L231" s="27">
        <v>0</v>
      </c>
      <c r="M231" s="27">
        <v>0</v>
      </c>
      <c r="N231" s="28">
        <f t="shared" si="37"/>
        <v>1700</v>
      </c>
    </row>
    <row r="232" spans="1:14" ht="25.5" customHeight="1" x14ac:dyDescent="0.25">
      <c r="A232" s="20" t="s">
        <v>257</v>
      </c>
      <c r="B232" s="88" t="s">
        <v>79</v>
      </c>
      <c r="C232" s="21">
        <v>50</v>
      </c>
      <c r="D232" s="21">
        <v>50</v>
      </c>
      <c r="E232" s="22">
        <v>0</v>
      </c>
      <c r="F232" s="22">
        <v>0</v>
      </c>
      <c r="G232" s="22">
        <f t="shared" si="34"/>
        <v>50</v>
      </c>
      <c r="H232" s="24">
        <v>0</v>
      </c>
      <c r="I232" s="25">
        <v>0</v>
      </c>
      <c r="J232" s="25">
        <v>0</v>
      </c>
      <c r="K232" s="91">
        <f t="shared" si="38"/>
        <v>50</v>
      </c>
      <c r="L232" s="27">
        <v>0</v>
      </c>
      <c r="M232" s="27">
        <v>0</v>
      </c>
      <c r="N232" s="28">
        <f t="shared" si="37"/>
        <v>50</v>
      </c>
    </row>
    <row r="233" spans="1:14" x14ac:dyDescent="0.25">
      <c r="A233" s="125" t="s">
        <v>258</v>
      </c>
      <c r="B233" s="88" t="s">
        <v>79</v>
      </c>
      <c r="C233" s="21">
        <v>1700</v>
      </c>
      <c r="D233" s="21">
        <v>1700</v>
      </c>
      <c r="E233" s="22">
        <v>0</v>
      </c>
      <c r="F233" s="22">
        <v>0</v>
      </c>
      <c r="G233" s="22">
        <f t="shared" si="34"/>
        <v>1700</v>
      </c>
      <c r="H233" s="24">
        <v>0</v>
      </c>
      <c r="I233" s="25">
        <v>0</v>
      </c>
      <c r="J233" s="25">
        <v>0</v>
      </c>
      <c r="K233" s="91">
        <f t="shared" si="38"/>
        <v>1700</v>
      </c>
      <c r="L233" s="27">
        <v>0</v>
      </c>
      <c r="M233" s="27">
        <v>0</v>
      </c>
      <c r="N233" s="28">
        <f t="shared" si="37"/>
        <v>1700</v>
      </c>
    </row>
    <row r="234" spans="1:14" ht="25.5" customHeight="1" x14ac:dyDescent="0.25">
      <c r="A234" s="20" t="s">
        <v>259</v>
      </c>
      <c r="B234" s="88" t="s">
        <v>79</v>
      </c>
      <c r="C234" s="21">
        <v>1700</v>
      </c>
      <c r="D234" s="21">
        <v>1700</v>
      </c>
      <c r="E234" s="22">
        <v>0</v>
      </c>
      <c r="F234" s="22">
        <v>0</v>
      </c>
      <c r="G234" s="22">
        <f t="shared" ref="G234:G256" si="39">D234+E234+F234</f>
        <v>1700</v>
      </c>
      <c r="H234" s="24">
        <v>0</v>
      </c>
      <c r="I234" s="25">
        <v>0</v>
      </c>
      <c r="J234" s="25">
        <v>0</v>
      </c>
      <c r="K234" s="91">
        <f t="shared" si="38"/>
        <v>1700</v>
      </c>
      <c r="L234" s="27">
        <v>0</v>
      </c>
      <c r="M234" s="27">
        <v>0</v>
      </c>
      <c r="N234" s="28">
        <f t="shared" si="37"/>
        <v>1700</v>
      </c>
    </row>
    <row r="235" spans="1:14" x14ac:dyDescent="0.25">
      <c r="A235" s="125" t="s">
        <v>260</v>
      </c>
      <c r="B235" s="88" t="s">
        <v>79</v>
      </c>
      <c r="C235" s="21">
        <v>800</v>
      </c>
      <c r="D235" s="21">
        <v>800</v>
      </c>
      <c r="E235" s="22">
        <v>0</v>
      </c>
      <c r="F235" s="22">
        <v>0</v>
      </c>
      <c r="G235" s="22">
        <f t="shared" si="39"/>
        <v>800</v>
      </c>
      <c r="H235" s="24">
        <v>0</v>
      </c>
      <c r="I235" s="25">
        <v>0</v>
      </c>
      <c r="J235" s="25">
        <v>0</v>
      </c>
      <c r="K235" s="91">
        <f t="shared" si="38"/>
        <v>800</v>
      </c>
      <c r="L235" s="27">
        <v>0</v>
      </c>
      <c r="M235" s="27">
        <v>0</v>
      </c>
      <c r="N235" s="28">
        <f t="shared" si="37"/>
        <v>800</v>
      </c>
    </row>
    <row r="236" spans="1:14" x14ac:dyDescent="0.25">
      <c r="A236" s="125" t="s">
        <v>261</v>
      </c>
      <c r="B236" s="88" t="s">
        <v>79</v>
      </c>
      <c r="C236" s="21">
        <v>300</v>
      </c>
      <c r="D236" s="21">
        <v>300</v>
      </c>
      <c r="E236" s="22">
        <v>0</v>
      </c>
      <c r="F236" s="22">
        <v>0</v>
      </c>
      <c r="G236" s="22">
        <f t="shared" si="39"/>
        <v>300</v>
      </c>
      <c r="H236" s="24">
        <v>0</v>
      </c>
      <c r="I236" s="25">
        <v>0</v>
      </c>
      <c r="J236" s="25">
        <v>0</v>
      </c>
      <c r="K236" s="91">
        <f t="shared" si="38"/>
        <v>300</v>
      </c>
      <c r="L236" s="27">
        <v>0</v>
      </c>
      <c r="M236" s="27">
        <v>0</v>
      </c>
      <c r="N236" s="28">
        <f t="shared" si="37"/>
        <v>300</v>
      </c>
    </row>
    <row r="237" spans="1:14" x14ac:dyDescent="0.25">
      <c r="A237" s="125" t="s">
        <v>262</v>
      </c>
      <c r="B237" s="88" t="s">
        <v>79</v>
      </c>
      <c r="C237" s="21">
        <v>500</v>
      </c>
      <c r="D237" s="21">
        <v>500</v>
      </c>
      <c r="E237" s="22">
        <v>0</v>
      </c>
      <c r="F237" s="22">
        <v>0</v>
      </c>
      <c r="G237" s="22">
        <f t="shared" si="39"/>
        <v>500</v>
      </c>
      <c r="H237" s="24">
        <v>0</v>
      </c>
      <c r="I237" s="25">
        <v>0</v>
      </c>
      <c r="J237" s="25">
        <v>0</v>
      </c>
      <c r="K237" s="91">
        <f t="shared" si="38"/>
        <v>500</v>
      </c>
      <c r="L237" s="27">
        <v>0</v>
      </c>
      <c r="M237" s="27">
        <v>0</v>
      </c>
      <c r="N237" s="28">
        <f t="shared" si="37"/>
        <v>500</v>
      </c>
    </row>
    <row r="238" spans="1:14" x14ac:dyDescent="0.25">
      <c r="A238" s="125" t="s">
        <v>263</v>
      </c>
      <c r="B238" s="88" t="s">
        <v>79</v>
      </c>
      <c r="C238" s="21">
        <v>1200</v>
      </c>
      <c r="D238" s="21">
        <v>1200</v>
      </c>
      <c r="E238" s="22">
        <v>0</v>
      </c>
      <c r="F238" s="22">
        <v>0</v>
      </c>
      <c r="G238" s="22">
        <f t="shared" si="39"/>
        <v>1200</v>
      </c>
      <c r="H238" s="24">
        <v>0</v>
      </c>
      <c r="I238" s="25">
        <v>0</v>
      </c>
      <c r="J238" s="25">
        <v>0</v>
      </c>
      <c r="K238" s="91">
        <f t="shared" si="38"/>
        <v>1200</v>
      </c>
      <c r="L238" s="27">
        <v>0</v>
      </c>
      <c r="M238" s="27">
        <v>0</v>
      </c>
      <c r="N238" s="28">
        <f t="shared" si="37"/>
        <v>1200</v>
      </c>
    </row>
    <row r="239" spans="1:14" x14ac:dyDescent="0.25">
      <c r="A239" s="125" t="s">
        <v>264</v>
      </c>
      <c r="B239" s="88" t="s">
        <v>79</v>
      </c>
      <c r="C239" s="21">
        <v>0</v>
      </c>
      <c r="D239" s="21">
        <v>800</v>
      </c>
      <c r="E239" s="22">
        <v>0</v>
      </c>
      <c r="F239" s="22">
        <v>0</v>
      </c>
      <c r="G239" s="22">
        <f t="shared" si="39"/>
        <v>800</v>
      </c>
      <c r="H239" s="24">
        <v>0</v>
      </c>
      <c r="I239" s="25">
        <v>0</v>
      </c>
      <c r="J239" s="25">
        <v>0</v>
      </c>
      <c r="K239" s="91">
        <f t="shared" si="38"/>
        <v>800</v>
      </c>
      <c r="L239" s="27">
        <v>0</v>
      </c>
      <c r="M239" s="27">
        <v>0</v>
      </c>
      <c r="N239" s="28">
        <f t="shared" si="37"/>
        <v>800</v>
      </c>
    </row>
    <row r="240" spans="1:14" x14ac:dyDescent="0.25">
      <c r="A240" s="125" t="s">
        <v>265</v>
      </c>
      <c r="B240" s="88" t="s">
        <v>79</v>
      </c>
      <c r="C240" s="21">
        <v>70</v>
      </c>
      <c r="D240" s="21">
        <v>70</v>
      </c>
      <c r="E240" s="22">
        <v>0</v>
      </c>
      <c r="F240" s="22">
        <v>0</v>
      </c>
      <c r="G240" s="22">
        <f t="shared" si="39"/>
        <v>70</v>
      </c>
      <c r="H240" s="24">
        <v>0</v>
      </c>
      <c r="I240" s="25">
        <v>0</v>
      </c>
      <c r="J240" s="25">
        <v>0</v>
      </c>
      <c r="K240" s="91">
        <f t="shared" si="38"/>
        <v>70</v>
      </c>
      <c r="L240" s="27">
        <v>0</v>
      </c>
      <c r="M240" s="27">
        <v>0</v>
      </c>
      <c r="N240" s="28">
        <f t="shared" si="37"/>
        <v>70</v>
      </c>
    </row>
    <row r="241" spans="1:14" ht="15.75" customHeight="1" x14ac:dyDescent="0.25">
      <c r="A241" s="125" t="s">
        <v>266</v>
      </c>
      <c r="B241" s="88" t="s">
        <v>79</v>
      </c>
      <c r="C241" s="21">
        <v>0</v>
      </c>
      <c r="D241" s="21">
        <v>400</v>
      </c>
      <c r="E241" s="22">
        <v>0</v>
      </c>
      <c r="F241" s="22">
        <v>0</v>
      </c>
      <c r="G241" s="22">
        <f t="shared" si="39"/>
        <v>400</v>
      </c>
      <c r="H241" s="24">
        <v>0</v>
      </c>
      <c r="I241" s="25">
        <v>0</v>
      </c>
      <c r="J241" s="25">
        <v>0</v>
      </c>
      <c r="K241" s="91">
        <f t="shared" si="38"/>
        <v>400</v>
      </c>
      <c r="L241" s="27">
        <v>0</v>
      </c>
      <c r="M241" s="27">
        <v>0</v>
      </c>
      <c r="N241" s="28">
        <f t="shared" si="37"/>
        <v>400</v>
      </c>
    </row>
    <row r="242" spans="1:14" ht="25.5" customHeight="1" x14ac:dyDescent="0.25">
      <c r="A242" s="20" t="s">
        <v>267</v>
      </c>
      <c r="B242" s="88" t="s">
        <v>50</v>
      </c>
      <c r="C242" s="21"/>
      <c r="D242" s="21">
        <v>0</v>
      </c>
      <c r="E242" s="22"/>
      <c r="F242" s="22"/>
      <c r="G242" s="22">
        <v>0</v>
      </c>
      <c r="H242" s="24">
        <v>400</v>
      </c>
      <c r="I242" s="25">
        <v>0</v>
      </c>
      <c r="J242" s="25">
        <v>0</v>
      </c>
      <c r="K242" s="91">
        <f t="shared" si="38"/>
        <v>400</v>
      </c>
      <c r="L242" s="27">
        <v>0</v>
      </c>
      <c r="M242" s="27">
        <v>0</v>
      </c>
      <c r="N242" s="28">
        <f t="shared" si="37"/>
        <v>400</v>
      </c>
    </row>
    <row r="243" spans="1:14" ht="25.5" customHeight="1" x14ac:dyDescent="0.25">
      <c r="A243" s="20" t="s">
        <v>268</v>
      </c>
      <c r="B243" s="88" t="s">
        <v>42</v>
      </c>
      <c r="C243" s="21"/>
      <c r="D243" s="21">
        <v>0</v>
      </c>
      <c r="E243" s="22"/>
      <c r="F243" s="22"/>
      <c r="G243" s="22">
        <v>0</v>
      </c>
      <c r="H243" s="24">
        <v>200</v>
      </c>
      <c r="I243" s="25">
        <v>0</v>
      </c>
      <c r="J243" s="25">
        <v>0</v>
      </c>
      <c r="K243" s="91">
        <f t="shared" si="38"/>
        <v>200</v>
      </c>
      <c r="L243" s="27">
        <v>0</v>
      </c>
      <c r="M243" s="27">
        <v>0</v>
      </c>
      <c r="N243" s="28">
        <f t="shared" si="37"/>
        <v>200</v>
      </c>
    </row>
    <row r="244" spans="1:14" ht="25.5" customHeight="1" x14ac:dyDescent="0.25">
      <c r="A244" s="20" t="s">
        <v>269</v>
      </c>
      <c r="B244" s="88" t="s">
        <v>42</v>
      </c>
      <c r="C244" s="21"/>
      <c r="D244" s="21">
        <v>0</v>
      </c>
      <c r="E244" s="22"/>
      <c r="F244" s="22"/>
      <c r="G244" s="22">
        <v>0</v>
      </c>
      <c r="H244" s="24">
        <v>200</v>
      </c>
      <c r="I244" s="25">
        <v>0</v>
      </c>
      <c r="J244" s="25">
        <v>0</v>
      </c>
      <c r="K244" s="91">
        <f t="shared" si="38"/>
        <v>200</v>
      </c>
      <c r="L244" s="27">
        <v>0</v>
      </c>
      <c r="M244" s="27">
        <v>0</v>
      </c>
      <c r="N244" s="28">
        <f t="shared" si="37"/>
        <v>200</v>
      </c>
    </row>
    <row r="245" spans="1:14" ht="25.5" customHeight="1" x14ac:dyDescent="0.25">
      <c r="A245" s="20" t="s">
        <v>270</v>
      </c>
      <c r="B245" s="88" t="s">
        <v>271</v>
      </c>
      <c r="C245" s="21"/>
      <c r="D245" s="21">
        <v>0</v>
      </c>
      <c r="E245" s="22"/>
      <c r="F245" s="22"/>
      <c r="G245" s="22">
        <v>0</v>
      </c>
      <c r="H245" s="24">
        <v>300</v>
      </c>
      <c r="I245" s="25">
        <v>0</v>
      </c>
      <c r="J245" s="25">
        <v>0</v>
      </c>
      <c r="K245" s="91">
        <f t="shared" si="38"/>
        <v>300</v>
      </c>
      <c r="L245" s="27">
        <v>0</v>
      </c>
      <c r="M245" s="27">
        <v>0</v>
      </c>
      <c r="N245" s="28">
        <f t="shared" si="37"/>
        <v>300</v>
      </c>
    </row>
    <row r="246" spans="1:14" ht="25.5" customHeight="1" x14ac:dyDescent="0.25">
      <c r="A246" s="20" t="s">
        <v>272</v>
      </c>
      <c r="B246" s="88" t="s">
        <v>79</v>
      </c>
      <c r="C246" s="21"/>
      <c r="D246" s="21">
        <v>0</v>
      </c>
      <c r="E246" s="22"/>
      <c r="F246" s="22"/>
      <c r="G246" s="22">
        <v>0</v>
      </c>
      <c r="H246" s="24">
        <v>40</v>
      </c>
      <c r="I246" s="25">
        <v>0</v>
      </c>
      <c r="J246" s="25">
        <v>0</v>
      </c>
      <c r="K246" s="91">
        <f t="shared" si="38"/>
        <v>40</v>
      </c>
      <c r="L246" s="27">
        <v>0</v>
      </c>
      <c r="M246" s="27">
        <v>0</v>
      </c>
      <c r="N246" s="28">
        <f t="shared" si="37"/>
        <v>40</v>
      </c>
    </row>
    <row r="247" spans="1:14" ht="15.75" customHeight="1" x14ac:dyDescent="0.25">
      <c r="A247" s="20" t="s">
        <v>273</v>
      </c>
      <c r="B247" s="88" t="s">
        <v>42</v>
      </c>
      <c r="C247" s="21"/>
      <c r="D247" s="21">
        <v>0</v>
      </c>
      <c r="E247" s="22"/>
      <c r="F247" s="22"/>
      <c r="G247" s="22"/>
      <c r="H247" s="24"/>
      <c r="I247" s="25"/>
      <c r="J247" s="25"/>
      <c r="K247" s="91">
        <v>0</v>
      </c>
      <c r="L247" s="27">
        <v>0</v>
      </c>
      <c r="M247" s="27">
        <v>20</v>
      </c>
      <c r="N247" s="28">
        <f t="shared" si="37"/>
        <v>20</v>
      </c>
    </row>
    <row r="248" spans="1:14" ht="25.5" customHeight="1" x14ac:dyDescent="0.25">
      <c r="A248" s="20" t="s">
        <v>274</v>
      </c>
      <c r="B248" s="88" t="s">
        <v>42</v>
      </c>
      <c r="C248" s="21"/>
      <c r="D248" s="21">
        <v>0</v>
      </c>
      <c r="E248" s="22"/>
      <c r="F248" s="22"/>
      <c r="G248" s="22"/>
      <c r="H248" s="24"/>
      <c r="I248" s="25"/>
      <c r="J248" s="25"/>
      <c r="K248" s="91">
        <v>0</v>
      </c>
      <c r="L248" s="27">
        <v>0</v>
      </c>
      <c r="M248" s="27">
        <v>60</v>
      </c>
      <c r="N248" s="28">
        <f t="shared" si="37"/>
        <v>60</v>
      </c>
    </row>
    <row r="249" spans="1:14" ht="25.5" customHeight="1" x14ac:dyDescent="0.25">
      <c r="A249" s="20" t="s">
        <v>275</v>
      </c>
      <c r="B249" s="88" t="s">
        <v>271</v>
      </c>
      <c r="C249" s="21"/>
      <c r="D249" s="21">
        <v>0</v>
      </c>
      <c r="E249" s="22"/>
      <c r="F249" s="22"/>
      <c r="G249" s="22"/>
      <c r="H249" s="24"/>
      <c r="I249" s="25"/>
      <c r="J249" s="25"/>
      <c r="K249" s="91">
        <v>0</v>
      </c>
      <c r="L249" s="27">
        <v>0</v>
      </c>
      <c r="M249" s="27">
        <v>20</v>
      </c>
      <c r="N249" s="28">
        <f t="shared" si="37"/>
        <v>20</v>
      </c>
    </row>
    <row r="250" spans="1:14" ht="25.5" customHeight="1" x14ac:dyDescent="0.25">
      <c r="A250" s="20" t="s">
        <v>276</v>
      </c>
      <c r="B250" s="88" t="s">
        <v>277</v>
      </c>
      <c r="C250" s="21"/>
      <c r="D250" s="21">
        <v>0</v>
      </c>
      <c r="E250" s="22"/>
      <c r="F250" s="22"/>
      <c r="G250" s="22"/>
      <c r="H250" s="24"/>
      <c r="I250" s="25"/>
      <c r="J250" s="25"/>
      <c r="K250" s="91">
        <v>0</v>
      </c>
      <c r="L250" s="27">
        <v>0</v>
      </c>
      <c r="M250" s="27">
        <v>15</v>
      </c>
      <c r="N250" s="28">
        <f t="shared" si="37"/>
        <v>15</v>
      </c>
    </row>
    <row r="251" spans="1:14" ht="25.5" customHeight="1" x14ac:dyDescent="0.25">
      <c r="A251" s="20" t="s">
        <v>278</v>
      </c>
      <c r="B251" s="88" t="s">
        <v>279</v>
      </c>
      <c r="C251" s="21"/>
      <c r="D251" s="21">
        <v>0</v>
      </c>
      <c r="E251" s="22"/>
      <c r="F251" s="22"/>
      <c r="G251" s="22"/>
      <c r="H251" s="24"/>
      <c r="I251" s="25"/>
      <c r="J251" s="25"/>
      <c r="K251" s="91">
        <v>0</v>
      </c>
      <c r="L251" s="27">
        <v>0</v>
      </c>
      <c r="M251" s="27">
        <v>10</v>
      </c>
      <c r="N251" s="28">
        <f t="shared" si="37"/>
        <v>10</v>
      </c>
    </row>
    <row r="252" spans="1:14" ht="25.5" customHeight="1" x14ac:dyDescent="0.25">
      <c r="A252" s="20" t="s">
        <v>280</v>
      </c>
      <c r="B252" s="88" t="s">
        <v>79</v>
      </c>
      <c r="C252" s="21"/>
      <c r="D252" s="21">
        <v>0</v>
      </c>
      <c r="E252" s="22"/>
      <c r="F252" s="22"/>
      <c r="G252" s="22"/>
      <c r="H252" s="24"/>
      <c r="I252" s="25"/>
      <c r="J252" s="25"/>
      <c r="K252" s="91">
        <v>0</v>
      </c>
      <c r="L252" s="27">
        <v>0</v>
      </c>
      <c r="M252" s="27">
        <v>350</v>
      </c>
      <c r="N252" s="28">
        <f t="shared" si="37"/>
        <v>350</v>
      </c>
    </row>
    <row r="253" spans="1:14" ht="15.75" customHeight="1" x14ac:dyDescent="0.25">
      <c r="A253" s="20" t="s">
        <v>281</v>
      </c>
      <c r="B253" s="88" t="s">
        <v>282</v>
      </c>
      <c r="C253" s="21"/>
      <c r="D253" s="21">
        <v>0</v>
      </c>
      <c r="E253" s="22"/>
      <c r="F253" s="22"/>
      <c r="G253" s="22"/>
      <c r="H253" s="24"/>
      <c r="I253" s="25"/>
      <c r="J253" s="25"/>
      <c r="K253" s="91">
        <v>0</v>
      </c>
      <c r="L253" s="27">
        <v>0</v>
      </c>
      <c r="M253" s="27">
        <v>30</v>
      </c>
      <c r="N253" s="28">
        <f t="shared" si="37"/>
        <v>30</v>
      </c>
    </row>
    <row r="254" spans="1:14" ht="15.75" customHeight="1" x14ac:dyDescent="0.25">
      <c r="A254" s="20" t="s">
        <v>283</v>
      </c>
      <c r="B254" s="88" t="s">
        <v>282</v>
      </c>
      <c r="C254" s="21"/>
      <c r="D254" s="21">
        <v>0</v>
      </c>
      <c r="E254" s="22"/>
      <c r="F254" s="22"/>
      <c r="G254" s="22"/>
      <c r="H254" s="24"/>
      <c r="I254" s="25"/>
      <c r="J254" s="25"/>
      <c r="K254" s="91">
        <v>0</v>
      </c>
      <c r="L254" s="27">
        <v>0</v>
      </c>
      <c r="M254" s="27">
        <v>20</v>
      </c>
      <c r="N254" s="28">
        <f t="shared" si="37"/>
        <v>20</v>
      </c>
    </row>
    <row r="255" spans="1:14" ht="25.5" customHeight="1" x14ac:dyDescent="0.25">
      <c r="A255" s="20" t="s">
        <v>284</v>
      </c>
      <c r="B255" s="88" t="s">
        <v>79</v>
      </c>
      <c r="C255" s="21"/>
      <c r="D255" s="21">
        <v>0</v>
      </c>
      <c r="E255" s="22"/>
      <c r="F255" s="22"/>
      <c r="G255" s="22"/>
      <c r="H255" s="24"/>
      <c r="I255" s="25"/>
      <c r="J255" s="25"/>
      <c r="K255" s="91">
        <v>0</v>
      </c>
      <c r="L255" s="27">
        <v>0</v>
      </c>
      <c r="M255" s="27">
        <v>30</v>
      </c>
      <c r="N255" s="28">
        <f t="shared" si="37"/>
        <v>30</v>
      </c>
    </row>
    <row r="256" spans="1:14" ht="15.75" customHeight="1" x14ac:dyDescent="0.25">
      <c r="A256" s="125" t="s">
        <v>285</v>
      </c>
      <c r="B256" s="88"/>
      <c r="C256" s="21">
        <v>0</v>
      </c>
      <c r="D256" s="21">
        <v>3220</v>
      </c>
      <c r="E256" s="22">
        <v>0</v>
      </c>
      <c r="F256" s="22">
        <v>-3220</v>
      </c>
      <c r="G256" s="22">
        <f t="shared" si="39"/>
        <v>0</v>
      </c>
      <c r="H256" s="24">
        <v>0</v>
      </c>
      <c r="I256" s="25">
        <v>0</v>
      </c>
      <c r="J256" s="25">
        <v>0</v>
      </c>
      <c r="K256" s="91">
        <f t="shared" si="38"/>
        <v>0</v>
      </c>
      <c r="L256" s="27">
        <v>0</v>
      </c>
      <c r="M256" s="27">
        <v>0</v>
      </c>
      <c r="N256" s="28">
        <f t="shared" si="37"/>
        <v>0</v>
      </c>
    </row>
    <row r="257" spans="1:15" ht="15" customHeight="1" thickBot="1" x14ac:dyDescent="0.3">
      <c r="A257" s="120" t="s">
        <v>286</v>
      </c>
      <c r="B257" s="107"/>
      <c r="C257" s="30">
        <v>9702.01</v>
      </c>
      <c r="D257" s="30">
        <f>21246-840-626-3220</f>
        <v>16560</v>
      </c>
      <c r="E257" s="31">
        <v>150</v>
      </c>
      <c r="F257" s="30">
        <f>-194.87-259-222-2400-731+205.5+121</f>
        <v>-3480.37</v>
      </c>
      <c r="G257" s="31">
        <f>D257+E257+F257-335</f>
        <v>12894.630000000001</v>
      </c>
      <c r="H257" s="32">
        <v>-3198.45</v>
      </c>
      <c r="I257" s="33">
        <v>0</v>
      </c>
      <c r="J257" s="33">
        <v>-250</v>
      </c>
      <c r="K257" s="91">
        <f t="shared" si="38"/>
        <v>9446.18</v>
      </c>
      <c r="L257" s="34">
        <v>27.86</v>
      </c>
      <c r="M257" s="34">
        <v>-751.5</v>
      </c>
      <c r="N257" s="28">
        <f t="shared" si="37"/>
        <v>8722.5400000000009</v>
      </c>
    </row>
    <row r="258" spans="1:15" ht="15.75" thickBot="1" x14ac:dyDescent="0.3">
      <c r="A258" s="121" t="s">
        <v>287</v>
      </c>
      <c r="B258" s="109"/>
      <c r="C258" s="81" t="e">
        <f>C260+C261+C262+C263+C264+C265+#REF!+C266</f>
        <v>#REF!</v>
      </c>
      <c r="D258" s="81">
        <f>D260+D261+D262+D263+D264+D265+D266</f>
        <v>207688</v>
      </c>
      <c r="E258" s="81">
        <f t="shared" ref="E258:K258" si="40">E260+E261+E262+E263+E264+E265+E266</f>
        <v>-123</v>
      </c>
      <c r="F258" s="81">
        <f t="shared" si="40"/>
        <v>31695</v>
      </c>
      <c r="G258" s="81">
        <f t="shared" si="40"/>
        <v>241913</v>
      </c>
      <c r="H258" s="81">
        <f t="shared" si="40"/>
        <v>0</v>
      </c>
      <c r="I258" s="81">
        <f t="shared" si="40"/>
        <v>0</v>
      </c>
      <c r="J258" s="81">
        <f t="shared" si="40"/>
        <v>0</v>
      </c>
      <c r="K258" s="82">
        <f t="shared" si="40"/>
        <v>241913</v>
      </c>
      <c r="L258" s="112">
        <f>L260+L261+L262+L263+L264+L265+L266</f>
        <v>3527</v>
      </c>
      <c r="M258" s="112">
        <f t="shared" ref="M258:N258" si="41">M260+M261+M262+M263+M264+M265+M266</f>
        <v>12500</v>
      </c>
      <c r="N258" s="111">
        <f t="shared" si="41"/>
        <v>257940</v>
      </c>
      <c r="O258" s="39"/>
    </row>
    <row r="259" spans="1:15" x14ac:dyDescent="0.25">
      <c r="A259" s="124" t="s">
        <v>30</v>
      </c>
      <c r="B259" s="93"/>
      <c r="C259" s="53"/>
      <c r="D259" s="53"/>
      <c r="E259" s="23"/>
      <c r="F259" s="23"/>
      <c r="G259" s="23"/>
      <c r="H259" s="55"/>
      <c r="I259" s="56"/>
      <c r="J259" s="56"/>
      <c r="K259" s="26"/>
      <c r="L259" s="57"/>
      <c r="M259" s="57"/>
      <c r="N259" s="58"/>
    </row>
    <row r="260" spans="1:15" ht="25.5" customHeight="1" x14ac:dyDescent="0.25">
      <c r="A260" s="20" t="s">
        <v>288</v>
      </c>
      <c r="B260" s="88"/>
      <c r="C260" s="21">
        <v>0</v>
      </c>
      <c r="D260" s="21">
        <v>0</v>
      </c>
      <c r="E260" s="22">
        <v>0</v>
      </c>
      <c r="F260" s="22">
        <v>0</v>
      </c>
      <c r="G260" s="22">
        <f>D260+E260+F260</f>
        <v>0</v>
      </c>
      <c r="H260" s="24">
        <v>0</v>
      </c>
      <c r="I260" s="25">
        <v>0</v>
      </c>
      <c r="J260" s="25">
        <v>0</v>
      </c>
      <c r="K260" s="91">
        <f>G260+H260+I260+J260</f>
        <v>0</v>
      </c>
      <c r="L260" s="27">
        <v>0</v>
      </c>
      <c r="M260" s="27">
        <v>0</v>
      </c>
      <c r="N260" s="28">
        <f>K260+L260+M260</f>
        <v>0</v>
      </c>
    </row>
    <row r="261" spans="1:15" x14ac:dyDescent="0.25">
      <c r="A261" s="125" t="s">
        <v>74</v>
      </c>
      <c r="B261" s="88"/>
      <c r="C261" s="21">
        <v>116338</v>
      </c>
      <c r="D261" s="21">
        <v>70349</v>
      </c>
      <c r="E261" s="22">
        <v>0</v>
      </c>
      <c r="F261" s="22">
        <v>29495</v>
      </c>
      <c r="G261" s="22">
        <f>D261+E261+F261+1066</f>
        <v>100910</v>
      </c>
      <c r="H261" s="24">
        <v>0</v>
      </c>
      <c r="I261" s="25">
        <v>0</v>
      </c>
      <c r="J261" s="25">
        <v>0</v>
      </c>
      <c r="K261" s="91">
        <f t="shared" ref="K261:K266" si="42">G261+H261+I261+J261</f>
        <v>100910</v>
      </c>
      <c r="L261" s="27">
        <f>786+2741</f>
        <v>3527</v>
      </c>
      <c r="M261" s="27">
        <v>12500</v>
      </c>
      <c r="N261" s="28">
        <f t="shared" ref="N261:N266" si="43">K261+L261+M261</f>
        <v>116937</v>
      </c>
    </row>
    <row r="262" spans="1:15" x14ac:dyDescent="0.25">
      <c r="A262" s="125" t="s">
        <v>289</v>
      </c>
      <c r="B262" s="88" t="s">
        <v>79</v>
      </c>
      <c r="C262" s="21">
        <v>79583</v>
      </c>
      <c r="D262" s="21">
        <v>79600</v>
      </c>
      <c r="E262" s="22">
        <v>0</v>
      </c>
      <c r="F262" s="22">
        <v>0</v>
      </c>
      <c r="G262" s="22">
        <f>D262+E262+F262+1587</f>
        <v>81187</v>
      </c>
      <c r="H262" s="24">
        <v>0</v>
      </c>
      <c r="I262" s="25">
        <v>0</v>
      </c>
      <c r="J262" s="25">
        <v>0</v>
      </c>
      <c r="K262" s="91">
        <f t="shared" si="42"/>
        <v>81187</v>
      </c>
      <c r="L262" s="27">
        <v>0</v>
      </c>
      <c r="M262" s="27">
        <v>0</v>
      </c>
      <c r="N262" s="28">
        <f t="shared" si="43"/>
        <v>81187</v>
      </c>
    </row>
    <row r="263" spans="1:15" x14ac:dyDescent="0.25">
      <c r="A263" s="124" t="s">
        <v>290</v>
      </c>
      <c r="B263" s="93" t="s">
        <v>79</v>
      </c>
      <c r="C263" s="53">
        <v>877</v>
      </c>
      <c r="D263" s="53">
        <v>860</v>
      </c>
      <c r="E263" s="23">
        <v>0</v>
      </c>
      <c r="F263" s="23">
        <v>0</v>
      </c>
      <c r="G263" s="23">
        <f t="shared" ref="G263:G266" si="44">D263+E263+F263</f>
        <v>860</v>
      </c>
      <c r="H263" s="24">
        <v>0</v>
      </c>
      <c r="I263" s="25">
        <v>0</v>
      </c>
      <c r="J263" s="25">
        <v>0</v>
      </c>
      <c r="K263" s="91">
        <f t="shared" si="42"/>
        <v>860</v>
      </c>
      <c r="L263" s="27">
        <v>0</v>
      </c>
      <c r="M263" s="27">
        <v>0</v>
      </c>
      <c r="N263" s="28">
        <f t="shared" si="43"/>
        <v>860</v>
      </c>
    </row>
    <row r="264" spans="1:15" x14ac:dyDescent="0.25">
      <c r="A264" s="125" t="s">
        <v>291</v>
      </c>
      <c r="B264" s="88" t="s">
        <v>79</v>
      </c>
      <c r="C264" s="21">
        <v>300</v>
      </c>
      <c r="D264" s="21">
        <v>300</v>
      </c>
      <c r="E264" s="22">
        <v>0</v>
      </c>
      <c r="F264" s="22">
        <v>0</v>
      </c>
      <c r="G264" s="22">
        <f t="shared" si="44"/>
        <v>300</v>
      </c>
      <c r="H264" s="24">
        <v>0</v>
      </c>
      <c r="I264" s="25">
        <v>0</v>
      </c>
      <c r="J264" s="25">
        <v>0</v>
      </c>
      <c r="K264" s="91">
        <f t="shared" si="42"/>
        <v>300</v>
      </c>
      <c r="L264" s="27">
        <v>0</v>
      </c>
      <c r="M264" s="27">
        <v>0</v>
      </c>
      <c r="N264" s="28">
        <f t="shared" si="43"/>
        <v>300</v>
      </c>
    </row>
    <row r="265" spans="1:15" x14ac:dyDescent="0.25">
      <c r="A265" s="125" t="s">
        <v>292</v>
      </c>
      <c r="B265" s="88" t="s">
        <v>79</v>
      </c>
      <c r="C265" s="21">
        <v>181</v>
      </c>
      <c r="D265" s="21">
        <v>181</v>
      </c>
      <c r="E265" s="22">
        <v>0</v>
      </c>
      <c r="F265" s="22">
        <v>0</v>
      </c>
      <c r="G265" s="22">
        <f t="shared" si="44"/>
        <v>181</v>
      </c>
      <c r="H265" s="24">
        <v>0</v>
      </c>
      <c r="I265" s="25">
        <v>0</v>
      </c>
      <c r="J265" s="25">
        <v>0</v>
      </c>
      <c r="K265" s="91">
        <f t="shared" si="42"/>
        <v>181</v>
      </c>
      <c r="L265" s="27">
        <v>0</v>
      </c>
      <c r="M265" s="27">
        <v>0</v>
      </c>
      <c r="N265" s="28">
        <f t="shared" si="43"/>
        <v>181</v>
      </c>
    </row>
    <row r="266" spans="1:15" ht="25.5" customHeight="1" x14ac:dyDescent="0.25">
      <c r="A266" s="20" t="s">
        <v>293</v>
      </c>
      <c r="B266" s="88"/>
      <c r="C266" s="21">
        <f>58105-3500</f>
        <v>54605</v>
      </c>
      <c r="D266" s="21">
        <v>56398</v>
      </c>
      <c r="E266" s="22">
        <f>0+200-323</f>
        <v>-123</v>
      </c>
      <c r="F266" s="22">
        <v>2200</v>
      </c>
      <c r="G266" s="22">
        <f t="shared" si="44"/>
        <v>58475</v>
      </c>
      <c r="H266" s="24">
        <v>0</v>
      </c>
      <c r="I266" s="25">
        <v>0</v>
      </c>
      <c r="J266" s="25">
        <v>0</v>
      </c>
      <c r="K266" s="91">
        <f t="shared" si="42"/>
        <v>58475</v>
      </c>
      <c r="L266" s="27">
        <v>0</v>
      </c>
      <c r="M266" s="27">
        <v>0</v>
      </c>
      <c r="N266" s="28">
        <f t="shared" si="43"/>
        <v>58475</v>
      </c>
    </row>
    <row r="267" spans="1:15" ht="15.75" thickBot="1" x14ac:dyDescent="0.3">
      <c r="A267" s="156" t="s">
        <v>294</v>
      </c>
      <c r="B267" s="157"/>
      <c r="C267" s="158" t="e">
        <f>C269+C270+C271+C272+#REF!+#REF!+#REF!+#REF!+#REF!+#REF!+#REF!+C273+C274</f>
        <v>#REF!</v>
      </c>
      <c r="D267" s="158">
        <f>D269+D270+D271+D272+D273+D274</f>
        <v>94017</v>
      </c>
      <c r="E267" s="158">
        <f t="shared" ref="E267:J267" si="45">E269+E270+E271+E272+E273+E274</f>
        <v>0</v>
      </c>
      <c r="F267" s="158">
        <f t="shared" si="45"/>
        <v>1029</v>
      </c>
      <c r="G267" s="158">
        <f t="shared" si="45"/>
        <v>95046</v>
      </c>
      <c r="H267" s="158">
        <f t="shared" si="45"/>
        <v>0</v>
      </c>
      <c r="I267" s="158">
        <f t="shared" si="45"/>
        <v>0</v>
      </c>
      <c r="J267" s="158">
        <f t="shared" si="45"/>
        <v>-100</v>
      </c>
      <c r="K267" s="160">
        <f>K269+K270+K271+K272+K273+K274</f>
        <v>94946</v>
      </c>
      <c r="L267" s="160">
        <f t="shared" ref="L267:N267" si="46">L269+L270+L271+L272+L273+L274</f>
        <v>0</v>
      </c>
      <c r="M267" s="160">
        <f t="shared" si="46"/>
        <v>500</v>
      </c>
      <c r="N267" s="162">
        <f t="shared" si="46"/>
        <v>95446</v>
      </c>
      <c r="O267" s="39"/>
    </row>
    <row r="268" spans="1:15" x14ac:dyDescent="0.25">
      <c r="A268" s="124" t="s">
        <v>30</v>
      </c>
      <c r="B268" s="93"/>
      <c r="C268" s="55"/>
      <c r="D268" s="55"/>
      <c r="E268" s="56"/>
      <c r="F268" s="56"/>
      <c r="G268" s="56"/>
      <c r="H268" s="55"/>
      <c r="I268" s="56"/>
      <c r="J268" s="56"/>
      <c r="K268" s="26"/>
      <c r="L268" s="57"/>
      <c r="M268" s="57"/>
      <c r="N268" s="58"/>
    </row>
    <row r="269" spans="1:15" ht="25.5" customHeight="1" x14ac:dyDescent="0.25">
      <c r="A269" s="105" t="s">
        <v>295</v>
      </c>
      <c r="B269" s="88"/>
      <c r="C269" s="24">
        <v>262.38</v>
      </c>
      <c r="D269" s="24">
        <v>0</v>
      </c>
      <c r="E269" s="25">
        <v>0</v>
      </c>
      <c r="F269" s="25">
        <v>0</v>
      </c>
      <c r="G269" s="25">
        <f>D269+E269+F269</f>
        <v>0</v>
      </c>
      <c r="H269" s="24">
        <v>0</v>
      </c>
      <c r="I269" s="25">
        <v>0</v>
      </c>
      <c r="J269" s="25">
        <v>0</v>
      </c>
      <c r="K269" s="91">
        <f>G269+H269+I269+J269</f>
        <v>0</v>
      </c>
      <c r="L269" s="27">
        <v>0</v>
      </c>
      <c r="M269" s="27">
        <v>0</v>
      </c>
      <c r="N269" s="28">
        <f>K269+L269+M269</f>
        <v>0</v>
      </c>
    </row>
    <row r="270" spans="1:15" x14ac:dyDescent="0.25">
      <c r="A270" s="125" t="s">
        <v>74</v>
      </c>
      <c r="B270" s="88"/>
      <c r="C270" s="24">
        <v>2130</v>
      </c>
      <c r="D270" s="24">
        <v>2380</v>
      </c>
      <c r="E270" s="25">
        <v>-230</v>
      </c>
      <c r="F270" s="25">
        <v>300</v>
      </c>
      <c r="G270" s="25">
        <f t="shared" ref="G270:G274" si="47">D270+E270+F270</f>
        <v>2450</v>
      </c>
      <c r="H270" s="24">
        <v>0</v>
      </c>
      <c r="I270" s="25">
        <v>0</v>
      </c>
      <c r="J270" s="25">
        <v>0</v>
      </c>
      <c r="K270" s="91">
        <f t="shared" ref="K270:K274" si="48">G270+H270+I270+J270</f>
        <v>2450</v>
      </c>
      <c r="L270" s="27">
        <v>0</v>
      </c>
      <c r="M270" s="27">
        <v>0</v>
      </c>
      <c r="N270" s="28">
        <f t="shared" ref="N270:N274" si="49">K270+L270+M270</f>
        <v>2450</v>
      </c>
    </row>
    <row r="271" spans="1:15" ht="25.5" customHeight="1" x14ac:dyDescent="0.25">
      <c r="A271" s="20" t="s">
        <v>296</v>
      </c>
      <c r="B271" s="88" t="s">
        <v>297</v>
      </c>
      <c r="C271" s="24">
        <v>965.7</v>
      </c>
      <c r="D271" s="24">
        <v>165</v>
      </c>
      <c r="E271" s="25">
        <v>0</v>
      </c>
      <c r="F271" s="25">
        <v>0</v>
      </c>
      <c r="G271" s="25">
        <f t="shared" si="47"/>
        <v>165</v>
      </c>
      <c r="H271" s="24">
        <v>0</v>
      </c>
      <c r="I271" s="25">
        <v>0</v>
      </c>
      <c r="J271" s="25">
        <v>0</v>
      </c>
      <c r="K271" s="91">
        <f t="shared" si="48"/>
        <v>165</v>
      </c>
      <c r="L271" s="27">
        <v>0</v>
      </c>
      <c r="M271" s="27">
        <v>0</v>
      </c>
      <c r="N271" s="28">
        <f t="shared" si="49"/>
        <v>165</v>
      </c>
    </row>
    <row r="272" spans="1:15" x14ac:dyDescent="0.25">
      <c r="A272" s="125" t="s">
        <v>298</v>
      </c>
      <c r="B272" s="127"/>
      <c r="C272" s="24">
        <v>6</v>
      </c>
      <c r="D272" s="24">
        <v>6</v>
      </c>
      <c r="E272" s="25">
        <v>0</v>
      </c>
      <c r="F272" s="25">
        <v>0</v>
      </c>
      <c r="G272" s="25">
        <f t="shared" si="47"/>
        <v>6</v>
      </c>
      <c r="H272" s="24">
        <v>0</v>
      </c>
      <c r="I272" s="25">
        <v>0</v>
      </c>
      <c r="J272" s="25">
        <v>0</v>
      </c>
      <c r="K272" s="91">
        <f t="shared" si="48"/>
        <v>6</v>
      </c>
      <c r="L272" s="27">
        <v>0</v>
      </c>
      <c r="M272" s="27">
        <v>0</v>
      </c>
      <c r="N272" s="28">
        <f t="shared" si="49"/>
        <v>6</v>
      </c>
    </row>
    <row r="273" spans="1:15" x14ac:dyDescent="0.25">
      <c r="A273" s="125" t="s">
        <v>299</v>
      </c>
      <c r="B273" s="88" t="s">
        <v>79</v>
      </c>
      <c r="C273" s="24">
        <v>250</v>
      </c>
      <c r="D273" s="24">
        <v>200</v>
      </c>
      <c r="E273" s="25">
        <v>0</v>
      </c>
      <c r="F273" s="25">
        <v>0</v>
      </c>
      <c r="G273" s="25">
        <f t="shared" si="47"/>
        <v>200</v>
      </c>
      <c r="H273" s="24">
        <v>0</v>
      </c>
      <c r="I273" s="25">
        <v>0</v>
      </c>
      <c r="J273" s="25">
        <v>0</v>
      </c>
      <c r="K273" s="91">
        <f t="shared" si="48"/>
        <v>200</v>
      </c>
      <c r="L273" s="27">
        <v>0</v>
      </c>
      <c r="M273" s="27">
        <v>0</v>
      </c>
      <c r="N273" s="28">
        <f t="shared" si="49"/>
        <v>200</v>
      </c>
    </row>
    <row r="274" spans="1:15" ht="25.5" customHeight="1" thickBot="1" x14ac:dyDescent="0.3">
      <c r="A274" s="29" t="s">
        <v>300</v>
      </c>
      <c r="B274" s="107"/>
      <c r="C274" s="32">
        <v>85090.63</v>
      </c>
      <c r="D274" s="32">
        <v>91266</v>
      </c>
      <c r="E274" s="33">
        <v>230</v>
      </c>
      <c r="F274" s="33">
        <f>150+579</f>
        <v>729</v>
      </c>
      <c r="G274" s="33">
        <f t="shared" si="47"/>
        <v>92225</v>
      </c>
      <c r="H274" s="32">
        <v>0</v>
      </c>
      <c r="I274" s="33">
        <v>0</v>
      </c>
      <c r="J274" s="33">
        <v>-100</v>
      </c>
      <c r="K274" s="91">
        <f t="shared" si="48"/>
        <v>92125</v>
      </c>
      <c r="L274" s="34">
        <v>0</v>
      </c>
      <c r="M274" s="34">
        <v>500</v>
      </c>
      <c r="N274" s="28">
        <f t="shared" si="49"/>
        <v>92625</v>
      </c>
    </row>
    <row r="275" spans="1:15" ht="15.75" thickBot="1" x14ac:dyDescent="0.3">
      <c r="A275" s="121" t="s">
        <v>301</v>
      </c>
      <c r="B275" s="109"/>
      <c r="C275" s="126">
        <f>C277+C278</f>
        <v>9287.4</v>
      </c>
      <c r="D275" s="126">
        <f>D277+D278</f>
        <v>7000</v>
      </c>
      <c r="E275" s="126">
        <f t="shared" ref="E275:G275" si="50">E277+E278</f>
        <v>1785</v>
      </c>
      <c r="F275" s="126">
        <f t="shared" si="50"/>
        <v>1512.7</v>
      </c>
      <c r="G275" s="126">
        <f t="shared" si="50"/>
        <v>10225.700000000001</v>
      </c>
      <c r="H275" s="126">
        <f>H277+H278</f>
        <v>0</v>
      </c>
      <c r="I275" s="126">
        <f>I277+I278</f>
        <v>0</v>
      </c>
      <c r="J275" s="126">
        <f>J277+J278</f>
        <v>0</v>
      </c>
      <c r="K275" s="110">
        <f>G275+H275+I275+J275</f>
        <v>10225.700000000001</v>
      </c>
      <c r="L275" s="112">
        <f>L277+L278</f>
        <v>56</v>
      </c>
      <c r="M275" s="112">
        <f t="shared" ref="M275:N275" si="51">M277+M278</f>
        <v>5</v>
      </c>
      <c r="N275" s="111">
        <f t="shared" si="51"/>
        <v>10286.700000000001</v>
      </c>
      <c r="O275" s="39"/>
    </row>
    <row r="276" spans="1:15" ht="14.25" customHeight="1" x14ac:dyDescent="0.25">
      <c r="A276" s="124" t="s">
        <v>30</v>
      </c>
      <c r="B276" s="93"/>
      <c r="C276" s="55"/>
      <c r="D276" s="55"/>
      <c r="E276" s="56"/>
      <c r="F276" s="56"/>
      <c r="G276" s="56"/>
      <c r="H276" s="55"/>
      <c r="I276" s="56"/>
      <c r="J276" s="56"/>
      <c r="K276" s="26"/>
      <c r="L276" s="57"/>
      <c r="M276" s="57"/>
      <c r="N276" s="58"/>
    </row>
    <row r="277" spans="1:15" ht="15" customHeight="1" x14ac:dyDescent="0.25">
      <c r="A277" s="125" t="s">
        <v>302</v>
      </c>
      <c r="B277" s="88"/>
      <c r="C277" s="24">
        <v>9287.4</v>
      </c>
      <c r="D277" s="24">
        <v>7000</v>
      </c>
      <c r="E277" s="25">
        <f>1920-188+5</f>
        <v>1737</v>
      </c>
      <c r="F277" s="25">
        <v>1323.5</v>
      </c>
      <c r="G277" s="25">
        <f>D277+E277+F277-72</f>
        <v>9988.5</v>
      </c>
      <c r="H277" s="24">
        <v>0</v>
      </c>
      <c r="I277" s="25">
        <v>0</v>
      </c>
      <c r="J277" s="25">
        <v>0</v>
      </c>
      <c r="K277" s="91">
        <f>G277+H277+I277+J277</f>
        <v>9988.5</v>
      </c>
      <c r="L277" s="27">
        <f>32+24</f>
        <v>56</v>
      </c>
      <c r="M277" s="27">
        <v>0</v>
      </c>
      <c r="N277" s="28">
        <f>K277+L277+M277</f>
        <v>10044.5</v>
      </c>
    </row>
    <row r="278" spans="1:15" ht="15" customHeight="1" thickBot="1" x14ac:dyDescent="0.3">
      <c r="A278" s="128" t="s">
        <v>303</v>
      </c>
      <c r="B278" s="129"/>
      <c r="C278" s="130">
        <v>0</v>
      </c>
      <c r="D278" s="130">
        <v>0</v>
      </c>
      <c r="E278" s="131">
        <f>48</f>
        <v>48</v>
      </c>
      <c r="F278" s="131">
        <v>189.2</v>
      </c>
      <c r="G278" s="131">
        <f>D278+E278+F278</f>
        <v>237.2</v>
      </c>
      <c r="H278" s="130">
        <v>0</v>
      </c>
      <c r="I278" s="131">
        <v>0</v>
      </c>
      <c r="J278" s="131">
        <v>0</v>
      </c>
      <c r="K278" s="91">
        <f>G278+H278+I278+J278</f>
        <v>237.2</v>
      </c>
      <c r="L278" s="34">
        <v>0</v>
      </c>
      <c r="M278" s="34">
        <v>5</v>
      </c>
      <c r="N278" s="28">
        <f>K278+L278+M278</f>
        <v>242.2</v>
      </c>
    </row>
    <row r="279" spans="1:15" ht="17.25" customHeight="1" thickBot="1" x14ac:dyDescent="0.3">
      <c r="A279" s="121" t="s">
        <v>304</v>
      </c>
      <c r="B279" s="109"/>
      <c r="C279" s="126">
        <f>SUM(C281:C329)</f>
        <v>72437.62999999999</v>
      </c>
      <c r="D279" s="126">
        <f>SUM(D281:D329)</f>
        <v>81114.5</v>
      </c>
      <c r="E279" s="126">
        <f t="shared" ref="E279:N279" si="52">SUM(E281:E329)</f>
        <v>8.85</v>
      </c>
      <c r="F279" s="126">
        <f t="shared" si="52"/>
        <v>-490</v>
      </c>
      <c r="G279" s="126">
        <f t="shared" si="52"/>
        <v>114817.32</v>
      </c>
      <c r="H279" s="126">
        <f t="shared" si="52"/>
        <v>80.32000000000005</v>
      </c>
      <c r="I279" s="126">
        <f t="shared" si="52"/>
        <v>0</v>
      </c>
      <c r="J279" s="126">
        <f t="shared" si="52"/>
        <v>149.44</v>
      </c>
      <c r="K279" s="126">
        <f t="shared" si="52"/>
        <v>115047.08000000002</v>
      </c>
      <c r="L279" s="126">
        <f t="shared" si="52"/>
        <v>55.5</v>
      </c>
      <c r="M279" s="126">
        <f t="shared" si="52"/>
        <v>8.1299999999999955</v>
      </c>
      <c r="N279" s="132">
        <f t="shared" si="52"/>
        <v>115110.71</v>
      </c>
      <c r="O279" s="39"/>
    </row>
    <row r="280" spans="1:15" ht="17.25" customHeight="1" x14ac:dyDescent="0.25">
      <c r="A280" s="124" t="s">
        <v>30</v>
      </c>
      <c r="B280" s="93"/>
      <c r="C280" s="55"/>
      <c r="D280" s="55"/>
      <c r="E280" s="56"/>
      <c r="F280" s="56"/>
      <c r="G280" s="56"/>
      <c r="H280" s="55"/>
      <c r="I280" s="56"/>
      <c r="J280" s="56"/>
      <c r="K280" s="26"/>
      <c r="L280" s="57"/>
      <c r="M280" s="57"/>
      <c r="N280" s="58"/>
    </row>
    <row r="281" spans="1:15" ht="16.5" customHeight="1" x14ac:dyDescent="0.25">
      <c r="A281" s="125" t="s">
        <v>305</v>
      </c>
      <c r="B281" s="88"/>
      <c r="C281" s="24">
        <v>431</v>
      </c>
      <c r="D281" s="24">
        <v>0</v>
      </c>
      <c r="E281" s="25">
        <v>0</v>
      </c>
      <c r="F281" s="25">
        <v>0</v>
      </c>
      <c r="G281" s="25">
        <f>D281+E281+F281+80</f>
        <v>80</v>
      </c>
      <c r="H281" s="24">
        <v>0</v>
      </c>
      <c r="I281" s="25">
        <v>0</v>
      </c>
      <c r="J281" s="25">
        <v>149.44</v>
      </c>
      <c r="K281" s="91">
        <f>G281+H281+I281+J281</f>
        <v>229.44</v>
      </c>
      <c r="L281" s="27">
        <v>0</v>
      </c>
      <c r="M281" s="27">
        <v>-149.44</v>
      </c>
      <c r="N281" s="28">
        <f>K281+L281+M281</f>
        <v>80</v>
      </c>
    </row>
    <row r="282" spans="1:15" ht="25.5" customHeight="1" x14ac:dyDescent="0.25">
      <c r="A282" s="20" t="s">
        <v>306</v>
      </c>
      <c r="B282" s="88" t="s">
        <v>307</v>
      </c>
      <c r="C282" s="24">
        <v>9350</v>
      </c>
      <c r="D282" s="24">
        <v>10300</v>
      </c>
      <c r="E282" s="25">
        <v>0</v>
      </c>
      <c r="F282" s="25">
        <v>0</v>
      </c>
      <c r="G282" s="25">
        <f t="shared" ref="G282:G329" si="53">D282+E282+F282</f>
        <v>10300</v>
      </c>
      <c r="H282" s="24">
        <v>0</v>
      </c>
      <c r="I282" s="25">
        <v>0</v>
      </c>
      <c r="J282" s="25">
        <v>0</v>
      </c>
      <c r="K282" s="91">
        <f t="shared" ref="K282:K329" si="54">G282+H282+I282+J282</f>
        <v>10300</v>
      </c>
      <c r="L282" s="27">
        <v>0</v>
      </c>
      <c r="M282" s="27">
        <v>0</v>
      </c>
      <c r="N282" s="28">
        <f t="shared" ref="N282:N329" si="55">K282+L282+M282</f>
        <v>10300</v>
      </c>
    </row>
    <row r="283" spans="1:15" ht="25.5" customHeight="1" x14ac:dyDescent="0.25">
      <c r="A283" s="20" t="s">
        <v>308</v>
      </c>
      <c r="B283" s="88" t="s">
        <v>309</v>
      </c>
      <c r="C283" s="24">
        <v>555.20000000000005</v>
      </c>
      <c r="D283" s="24">
        <v>800</v>
      </c>
      <c r="E283" s="25">
        <v>0</v>
      </c>
      <c r="F283" s="25">
        <v>0</v>
      </c>
      <c r="G283" s="25">
        <f t="shared" si="53"/>
        <v>800</v>
      </c>
      <c r="H283" s="24">
        <v>0</v>
      </c>
      <c r="I283" s="25">
        <v>0</v>
      </c>
      <c r="J283" s="25">
        <v>0</v>
      </c>
      <c r="K283" s="91">
        <f t="shared" si="54"/>
        <v>800</v>
      </c>
      <c r="L283" s="27">
        <v>0</v>
      </c>
      <c r="M283" s="27">
        <v>0</v>
      </c>
      <c r="N283" s="28">
        <f t="shared" si="55"/>
        <v>800</v>
      </c>
    </row>
    <row r="284" spans="1:15" ht="25.5" customHeight="1" x14ac:dyDescent="0.25">
      <c r="A284" s="20" t="s">
        <v>310</v>
      </c>
      <c r="B284" s="88" t="s">
        <v>311</v>
      </c>
      <c r="C284" s="24">
        <v>800</v>
      </c>
      <c r="D284" s="24">
        <v>800</v>
      </c>
      <c r="E284" s="25">
        <v>0</v>
      </c>
      <c r="F284" s="25">
        <v>-4.9000000000000004</v>
      </c>
      <c r="G284" s="25">
        <f t="shared" si="53"/>
        <v>795.1</v>
      </c>
      <c r="H284" s="24">
        <v>0</v>
      </c>
      <c r="I284" s="25">
        <v>0</v>
      </c>
      <c r="J284" s="25">
        <v>0</v>
      </c>
      <c r="K284" s="91">
        <f t="shared" si="54"/>
        <v>795.1</v>
      </c>
      <c r="L284" s="27">
        <v>0</v>
      </c>
      <c r="M284" s="27">
        <v>0</v>
      </c>
      <c r="N284" s="28">
        <f t="shared" si="55"/>
        <v>795.1</v>
      </c>
    </row>
    <row r="285" spans="1:15" ht="25.5" customHeight="1" x14ac:dyDescent="0.25">
      <c r="A285" s="20" t="s">
        <v>312</v>
      </c>
      <c r="B285" s="88" t="s">
        <v>79</v>
      </c>
      <c r="C285" s="24">
        <v>0</v>
      </c>
      <c r="D285" s="24">
        <v>1000</v>
      </c>
      <c r="E285" s="25">
        <v>0</v>
      </c>
      <c r="F285" s="25">
        <v>-1000</v>
      </c>
      <c r="G285" s="25">
        <f t="shared" si="53"/>
        <v>0</v>
      </c>
      <c r="H285" s="24">
        <v>0</v>
      </c>
      <c r="I285" s="25">
        <v>0</v>
      </c>
      <c r="J285" s="25">
        <v>0</v>
      </c>
      <c r="K285" s="91">
        <f t="shared" si="54"/>
        <v>0</v>
      </c>
      <c r="L285" s="27">
        <v>0</v>
      </c>
      <c r="M285" s="27">
        <v>0</v>
      </c>
      <c r="N285" s="28">
        <f t="shared" si="55"/>
        <v>0</v>
      </c>
    </row>
    <row r="286" spans="1:15" ht="54" customHeight="1" x14ac:dyDescent="0.25">
      <c r="A286" s="20" t="s">
        <v>313</v>
      </c>
      <c r="B286" s="88" t="s">
        <v>79</v>
      </c>
      <c r="C286" s="24">
        <v>6725</v>
      </c>
      <c r="D286" s="24">
        <v>6475</v>
      </c>
      <c r="E286" s="25">
        <v>0</v>
      </c>
      <c r="F286" s="25">
        <v>0</v>
      </c>
      <c r="G286" s="25">
        <f t="shared" si="53"/>
        <v>6475</v>
      </c>
      <c r="H286" s="24">
        <v>1980</v>
      </c>
      <c r="I286" s="25">
        <v>0</v>
      </c>
      <c r="J286" s="25">
        <v>0</v>
      </c>
      <c r="K286" s="91">
        <f t="shared" si="54"/>
        <v>8455</v>
      </c>
      <c r="L286" s="27">
        <v>0</v>
      </c>
      <c r="M286" s="27">
        <v>0</v>
      </c>
      <c r="N286" s="28">
        <f t="shared" si="55"/>
        <v>8455</v>
      </c>
    </row>
    <row r="287" spans="1:15" ht="51" customHeight="1" x14ac:dyDescent="0.25">
      <c r="A287" s="20" t="s">
        <v>314</v>
      </c>
      <c r="B287" s="88" t="s">
        <v>79</v>
      </c>
      <c r="C287" s="24">
        <v>0</v>
      </c>
      <c r="D287" s="24">
        <v>900</v>
      </c>
      <c r="E287" s="25">
        <v>0</v>
      </c>
      <c r="F287" s="25">
        <v>0</v>
      </c>
      <c r="G287" s="25">
        <f t="shared" si="53"/>
        <v>900</v>
      </c>
      <c r="H287" s="24">
        <v>-900</v>
      </c>
      <c r="I287" s="25">
        <v>0</v>
      </c>
      <c r="J287" s="25">
        <v>0</v>
      </c>
      <c r="K287" s="91">
        <f t="shared" si="54"/>
        <v>0</v>
      </c>
      <c r="L287" s="27">
        <v>0</v>
      </c>
      <c r="M287" s="27">
        <v>0</v>
      </c>
      <c r="N287" s="28">
        <f t="shared" si="55"/>
        <v>0</v>
      </c>
    </row>
    <row r="288" spans="1:15" ht="15" customHeight="1" x14ac:dyDescent="0.25">
      <c r="A288" s="20" t="s">
        <v>315</v>
      </c>
      <c r="B288" s="88" t="s">
        <v>79</v>
      </c>
      <c r="C288" s="24"/>
      <c r="D288" s="24">
        <v>0</v>
      </c>
      <c r="E288" s="25"/>
      <c r="F288" s="25"/>
      <c r="G288" s="25">
        <v>3817</v>
      </c>
      <c r="H288" s="24">
        <v>0</v>
      </c>
      <c r="I288" s="25">
        <v>0</v>
      </c>
      <c r="J288" s="25">
        <v>0</v>
      </c>
      <c r="K288" s="91">
        <f t="shared" si="54"/>
        <v>3817</v>
      </c>
      <c r="L288" s="27">
        <v>0</v>
      </c>
      <c r="M288" s="27">
        <v>0</v>
      </c>
      <c r="N288" s="28">
        <f t="shared" si="55"/>
        <v>3817</v>
      </c>
    </row>
    <row r="289" spans="1:14" x14ac:dyDescent="0.25">
      <c r="A289" s="125" t="s">
        <v>316</v>
      </c>
      <c r="B289" s="88" t="s">
        <v>79</v>
      </c>
      <c r="C289" s="24">
        <v>5162</v>
      </c>
      <c r="D289" s="24">
        <v>5920</v>
      </c>
      <c r="E289" s="25">
        <v>0</v>
      </c>
      <c r="F289" s="25">
        <v>0</v>
      </c>
      <c r="G289" s="25">
        <f t="shared" si="53"/>
        <v>5920</v>
      </c>
      <c r="H289" s="24">
        <v>0</v>
      </c>
      <c r="I289" s="25">
        <v>0</v>
      </c>
      <c r="J289" s="25">
        <v>0</v>
      </c>
      <c r="K289" s="91">
        <f t="shared" si="54"/>
        <v>5920</v>
      </c>
      <c r="L289" s="27">
        <v>0</v>
      </c>
      <c r="M289" s="27">
        <v>0</v>
      </c>
      <c r="N289" s="28">
        <f t="shared" si="55"/>
        <v>5920</v>
      </c>
    </row>
    <row r="290" spans="1:14" x14ac:dyDescent="0.25">
      <c r="A290" s="125" t="s">
        <v>317</v>
      </c>
      <c r="B290" s="88" t="s">
        <v>42</v>
      </c>
      <c r="C290" s="24"/>
      <c r="D290" s="24">
        <v>0</v>
      </c>
      <c r="E290" s="25">
        <v>0</v>
      </c>
      <c r="F290" s="25">
        <v>30</v>
      </c>
      <c r="G290" s="25">
        <f t="shared" si="53"/>
        <v>30</v>
      </c>
      <c r="H290" s="24">
        <v>0</v>
      </c>
      <c r="I290" s="25">
        <v>0</v>
      </c>
      <c r="J290" s="25">
        <v>0</v>
      </c>
      <c r="K290" s="91">
        <f t="shared" si="54"/>
        <v>30</v>
      </c>
      <c r="L290" s="27">
        <v>0</v>
      </c>
      <c r="M290" s="27">
        <v>0</v>
      </c>
      <c r="N290" s="28">
        <f t="shared" si="55"/>
        <v>30</v>
      </c>
    </row>
    <row r="291" spans="1:14" x14ac:dyDescent="0.25">
      <c r="A291" s="125" t="s">
        <v>318</v>
      </c>
      <c r="B291" s="88" t="s">
        <v>79</v>
      </c>
      <c r="C291" s="24">
        <v>15</v>
      </c>
      <c r="D291" s="24">
        <v>15</v>
      </c>
      <c r="E291" s="25">
        <v>0</v>
      </c>
      <c r="F291" s="25">
        <v>0</v>
      </c>
      <c r="G291" s="25">
        <f t="shared" si="53"/>
        <v>15</v>
      </c>
      <c r="H291" s="24">
        <v>-15</v>
      </c>
      <c r="I291" s="25">
        <v>0</v>
      </c>
      <c r="J291" s="25">
        <v>0</v>
      </c>
      <c r="K291" s="91">
        <f t="shared" si="54"/>
        <v>0</v>
      </c>
      <c r="L291" s="27">
        <v>0</v>
      </c>
      <c r="M291" s="27">
        <v>0</v>
      </c>
      <c r="N291" s="28">
        <f t="shared" si="55"/>
        <v>0</v>
      </c>
    </row>
    <row r="292" spans="1:14" x14ac:dyDescent="0.25">
      <c r="A292" s="125" t="s">
        <v>319</v>
      </c>
      <c r="B292" s="88" t="s">
        <v>42</v>
      </c>
      <c r="C292" s="24"/>
      <c r="D292" s="24">
        <v>0</v>
      </c>
      <c r="E292" s="25"/>
      <c r="F292" s="25"/>
      <c r="G292" s="25">
        <v>0</v>
      </c>
      <c r="H292" s="24">
        <v>15</v>
      </c>
      <c r="I292" s="25">
        <v>0</v>
      </c>
      <c r="J292" s="25">
        <v>0</v>
      </c>
      <c r="K292" s="91">
        <f t="shared" si="54"/>
        <v>15</v>
      </c>
      <c r="L292" s="27">
        <v>0</v>
      </c>
      <c r="M292" s="27">
        <v>0</v>
      </c>
      <c r="N292" s="28">
        <f t="shared" si="55"/>
        <v>15</v>
      </c>
    </row>
    <row r="293" spans="1:14" ht="51.75" customHeight="1" x14ac:dyDescent="0.25">
      <c r="A293" s="20" t="s">
        <v>320</v>
      </c>
      <c r="B293" s="88" t="s">
        <v>79</v>
      </c>
      <c r="C293" s="24">
        <v>14184</v>
      </c>
      <c r="D293" s="24">
        <v>13234</v>
      </c>
      <c r="E293" s="25">
        <v>0</v>
      </c>
      <c r="F293" s="25">
        <v>0</v>
      </c>
      <c r="G293" s="25">
        <f t="shared" si="53"/>
        <v>13234</v>
      </c>
      <c r="H293" s="24">
        <v>2070</v>
      </c>
      <c r="I293" s="25">
        <v>0</v>
      </c>
      <c r="J293" s="25">
        <v>0</v>
      </c>
      <c r="K293" s="91">
        <f t="shared" si="54"/>
        <v>15304</v>
      </c>
      <c r="L293" s="27">
        <v>0</v>
      </c>
      <c r="M293" s="27">
        <v>0</v>
      </c>
      <c r="N293" s="28">
        <f t="shared" si="55"/>
        <v>15304</v>
      </c>
    </row>
    <row r="294" spans="1:14" ht="55.5" customHeight="1" x14ac:dyDescent="0.25">
      <c r="A294" s="20" t="s">
        <v>321</v>
      </c>
      <c r="B294" s="88" t="s">
        <v>79</v>
      </c>
      <c r="C294" s="24">
        <v>0</v>
      </c>
      <c r="D294" s="24">
        <v>2070</v>
      </c>
      <c r="E294" s="25">
        <v>0</v>
      </c>
      <c r="F294" s="25">
        <v>0</v>
      </c>
      <c r="G294" s="25">
        <f t="shared" si="53"/>
        <v>2070</v>
      </c>
      <c r="H294" s="24">
        <v>-2070</v>
      </c>
      <c r="I294" s="25">
        <v>0</v>
      </c>
      <c r="J294" s="25">
        <v>0</v>
      </c>
      <c r="K294" s="91">
        <f t="shared" si="54"/>
        <v>0</v>
      </c>
      <c r="L294" s="27">
        <v>0</v>
      </c>
      <c r="M294" s="27">
        <v>0</v>
      </c>
      <c r="N294" s="28">
        <f t="shared" si="55"/>
        <v>0</v>
      </c>
    </row>
    <row r="295" spans="1:14" ht="15" customHeight="1" x14ac:dyDescent="0.25">
      <c r="A295" s="20" t="s">
        <v>322</v>
      </c>
      <c r="B295" s="88" t="s">
        <v>79</v>
      </c>
      <c r="C295" s="24"/>
      <c r="D295" s="24">
        <v>0</v>
      </c>
      <c r="E295" s="25"/>
      <c r="F295" s="25"/>
      <c r="G295" s="25">
        <v>15253</v>
      </c>
      <c r="H295" s="24">
        <v>0</v>
      </c>
      <c r="I295" s="25">
        <v>0</v>
      </c>
      <c r="J295" s="25">
        <v>0</v>
      </c>
      <c r="K295" s="91">
        <f t="shared" si="54"/>
        <v>15253</v>
      </c>
      <c r="L295" s="27">
        <v>0</v>
      </c>
      <c r="M295" s="27">
        <v>0</v>
      </c>
      <c r="N295" s="28">
        <f t="shared" si="55"/>
        <v>15253</v>
      </c>
    </row>
    <row r="296" spans="1:14" ht="15" customHeight="1" x14ac:dyDescent="0.25">
      <c r="A296" s="20" t="s">
        <v>323</v>
      </c>
      <c r="B296" s="88" t="s">
        <v>324</v>
      </c>
      <c r="C296" s="24"/>
      <c r="D296" s="24">
        <v>0</v>
      </c>
      <c r="E296" s="25"/>
      <c r="F296" s="25"/>
      <c r="G296" s="25"/>
      <c r="H296" s="24"/>
      <c r="I296" s="25"/>
      <c r="J296" s="25"/>
      <c r="K296" s="91">
        <v>0</v>
      </c>
      <c r="L296" s="27">
        <v>55.5</v>
      </c>
      <c r="M296" s="27">
        <v>0</v>
      </c>
      <c r="N296" s="28">
        <f t="shared" si="55"/>
        <v>55.5</v>
      </c>
    </row>
    <row r="297" spans="1:14" ht="66" customHeight="1" x14ac:dyDescent="0.25">
      <c r="A297" s="20" t="s">
        <v>325</v>
      </c>
      <c r="B297" s="88" t="s">
        <v>79</v>
      </c>
      <c r="C297" s="24">
        <v>12635</v>
      </c>
      <c r="D297" s="24">
        <v>11885</v>
      </c>
      <c r="E297" s="25">
        <v>0</v>
      </c>
      <c r="F297" s="25">
        <v>0</v>
      </c>
      <c r="G297" s="25">
        <f t="shared" si="53"/>
        <v>11885</v>
      </c>
      <c r="H297" s="24">
        <v>0</v>
      </c>
      <c r="I297" s="25">
        <v>0</v>
      </c>
      <c r="J297" s="25">
        <v>0</v>
      </c>
      <c r="K297" s="91">
        <f t="shared" si="54"/>
        <v>11885</v>
      </c>
      <c r="L297" s="27">
        <v>0</v>
      </c>
      <c r="M297" s="27">
        <v>0</v>
      </c>
      <c r="N297" s="28">
        <f t="shared" si="55"/>
        <v>11885</v>
      </c>
    </row>
    <row r="298" spans="1:14" ht="51" customHeight="1" x14ac:dyDescent="0.25">
      <c r="A298" s="20" t="s">
        <v>326</v>
      </c>
      <c r="B298" s="88" t="s">
        <v>79</v>
      </c>
      <c r="C298" s="24">
        <v>0</v>
      </c>
      <c r="D298" s="24">
        <v>860</v>
      </c>
      <c r="E298" s="25">
        <v>0</v>
      </c>
      <c r="F298" s="25">
        <v>0</v>
      </c>
      <c r="G298" s="25">
        <f t="shared" si="53"/>
        <v>860</v>
      </c>
      <c r="H298" s="24">
        <v>-860</v>
      </c>
      <c r="I298" s="25">
        <v>0</v>
      </c>
      <c r="J298" s="25">
        <v>0</v>
      </c>
      <c r="K298" s="91">
        <f t="shared" si="54"/>
        <v>0</v>
      </c>
      <c r="L298" s="27">
        <v>0</v>
      </c>
      <c r="M298" s="27">
        <v>0</v>
      </c>
      <c r="N298" s="28">
        <f t="shared" si="55"/>
        <v>0</v>
      </c>
    </row>
    <row r="299" spans="1:14" ht="25.5" customHeight="1" x14ac:dyDescent="0.25">
      <c r="A299" s="20" t="s">
        <v>327</v>
      </c>
      <c r="B299" s="88" t="s">
        <v>79</v>
      </c>
      <c r="C299" s="24"/>
      <c r="D299" s="24">
        <v>0</v>
      </c>
      <c r="E299" s="25"/>
      <c r="F299" s="25"/>
      <c r="G299" s="25">
        <v>7972</v>
      </c>
      <c r="H299" s="24">
        <v>0</v>
      </c>
      <c r="I299" s="25">
        <v>0</v>
      </c>
      <c r="J299" s="25">
        <v>0</v>
      </c>
      <c r="K299" s="91">
        <f t="shared" si="54"/>
        <v>7972</v>
      </c>
      <c r="L299" s="27">
        <v>0</v>
      </c>
      <c r="M299" s="27">
        <v>0</v>
      </c>
      <c r="N299" s="28">
        <f t="shared" si="55"/>
        <v>7972</v>
      </c>
    </row>
    <row r="300" spans="1:14" ht="52.5" customHeight="1" x14ac:dyDescent="0.25">
      <c r="A300" s="20" t="s">
        <v>328</v>
      </c>
      <c r="B300" s="88" t="s">
        <v>79</v>
      </c>
      <c r="C300" s="24">
        <v>8022</v>
      </c>
      <c r="D300" s="24">
        <v>7772</v>
      </c>
      <c r="E300" s="25">
        <v>0</v>
      </c>
      <c r="F300" s="25">
        <v>0</v>
      </c>
      <c r="G300" s="25">
        <f t="shared" si="53"/>
        <v>7772</v>
      </c>
      <c r="H300" s="24">
        <v>1531</v>
      </c>
      <c r="I300" s="25">
        <v>0</v>
      </c>
      <c r="J300" s="25">
        <v>0</v>
      </c>
      <c r="K300" s="91">
        <f t="shared" si="54"/>
        <v>9303</v>
      </c>
      <c r="L300" s="27">
        <v>0</v>
      </c>
      <c r="M300" s="27">
        <v>0</v>
      </c>
      <c r="N300" s="28">
        <f t="shared" si="55"/>
        <v>9303</v>
      </c>
    </row>
    <row r="301" spans="1:14" ht="25.5" customHeight="1" x14ac:dyDescent="0.25">
      <c r="A301" s="20" t="s">
        <v>329</v>
      </c>
      <c r="B301" s="88" t="s">
        <v>330</v>
      </c>
      <c r="C301" s="24"/>
      <c r="D301" s="24">
        <v>0</v>
      </c>
      <c r="E301" s="25"/>
      <c r="F301" s="25"/>
      <c r="G301" s="25">
        <v>188.86</v>
      </c>
      <c r="H301" s="24">
        <v>0</v>
      </c>
      <c r="I301" s="25">
        <v>0</v>
      </c>
      <c r="J301" s="25">
        <v>0</v>
      </c>
      <c r="K301" s="91">
        <f t="shared" si="54"/>
        <v>188.86</v>
      </c>
      <c r="L301" s="27">
        <v>0</v>
      </c>
      <c r="M301" s="27">
        <v>0</v>
      </c>
      <c r="N301" s="28">
        <f t="shared" si="55"/>
        <v>188.86</v>
      </c>
    </row>
    <row r="302" spans="1:14" ht="25.5" customHeight="1" x14ac:dyDescent="0.25">
      <c r="A302" s="20" t="s">
        <v>331</v>
      </c>
      <c r="B302" s="88" t="s">
        <v>330</v>
      </c>
      <c r="C302" s="24"/>
      <c r="D302" s="24">
        <v>0</v>
      </c>
      <c r="E302" s="25"/>
      <c r="F302" s="25"/>
      <c r="G302" s="25">
        <v>11.11</v>
      </c>
      <c r="H302" s="24">
        <v>0</v>
      </c>
      <c r="I302" s="25">
        <v>0</v>
      </c>
      <c r="J302" s="25">
        <v>0</v>
      </c>
      <c r="K302" s="91">
        <f t="shared" si="54"/>
        <v>11.11</v>
      </c>
      <c r="L302" s="27">
        <v>0</v>
      </c>
      <c r="M302" s="27">
        <v>0</v>
      </c>
      <c r="N302" s="28">
        <f t="shared" si="55"/>
        <v>11.11</v>
      </c>
    </row>
    <row r="303" spans="1:14" ht="51.75" customHeight="1" x14ac:dyDescent="0.25">
      <c r="A303" s="20" t="s">
        <v>332</v>
      </c>
      <c r="B303" s="88" t="s">
        <v>79</v>
      </c>
      <c r="C303" s="24">
        <v>0</v>
      </c>
      <c r="D303" s="24">
        <v>460</v>
      </c>
      <c r="E303" s="25">
        <v>0</v>
      </c>
      <c r="F303" s="25">
        <v>0</v>
      </c>
      <c r="G303" s="25">
        <f t="shared" si="53"/>
        <v>460</v>
      </c>
      <c r="H303" s="24">
        <v>-460</v>
      </c>
      <c r="I303" s="25">
        <v>0</v>
      </c>
      <c r="J303" s="25">
        <v>0</v>
      </c>
      <c r="K303" s="91">
        <f t="shared" si="54"/>
        <v>0</v>
      </c>
      <c r="L303" s="27">
        <v>0</v>
      </c>
      <c r="M303" s="27">
        <v>0</v>
      </c>
      <c r="N303" s="28">
        <f t="shared" si="55"/>
        <v>0</v>
      </c>
    </row>
    <row r="304" spans="1:14" ht="15" customHeight="1" x14ac:dyDescent="0.25">
      <c r="A304" s="20" t="s">
        <v>333</v>
      </c>
      <c r="B304" s="88" t="s">
        <v>79</v>
      </c>
      <c r="C304" s="24"/>
      <c r="D304" s="24">
        <v>0</v>
      </c>
      <c r="E304" s="25"/>
      <c r="F304" s="25"/>
      <c r="G304" s="25">
        <v>3192</v>
      </c>
      <c r="H304" s="24">
        <v>0</v>
      </c>
      <c r="I304" s="25">
        <v>0</v>
      </c>
      <c r="J304" s="25">
        <v>0</v>
      </c>
      <c r="K304" s="91">
        <f t="shared" si="54"/>
        <v>3192</v>
      </c>
      <c r="L304" s="27">
        <v>0</v>
      </c>
      <c r="M304" s="27">
        <v>0</v>
      </c>
      <c r="N304" s="28">
        <f t="shared" si="55"/>
        <v>3192</v>
      </c>
    </row>
    <row r="305" spans="1:14" ht="51" customHeight="1" x14ac:dyDescent="0.25">
      <c r="A305" s="20" t="s">
        <v>334</v>
      </c>
      <c r="B305" s="88" t="s">
        <v>79</v>
      </c>
      <c r="C305" s="24">
        <v>9626</v>
      </c>
      <c r="D305" s="24">
        <v>9276</v>
      </c>
      <c r="E305" s="25">
        <v>0</v>
      </c>
      <c r="F305" s="25">
        <v>0</v>
      </c>
      <c r="G305" s="25">
        <f t="shared" si="53"/>
        <v>9276</v>
      </c>
      <c r="H305" s="24">
        <v>0</v>
      </c>
      <c r="I305" s="25">
        <v>0</v>
      </c>
      <c r="J305" s="25">
        <v>0</v>
      </c>
      <c r="K305" s="91">
        <f t="shared" si="54"/>
        <v>9276</v>
      </c>
      <c r="L305" s="27">
        <v>0</v>
      </c>
      <c r="M305" s="27">
        <v>0</v>
      </c>
      <c r="N305" s="28">
        <f t="shared" si="55"/>
        <v>9276</v>
      </c>
    </row>
    <row r="306" spans="1:14" ht="66.75" customHeight="1" x14ac:dyDescent="0.25">
      <c r="A306" s="20" t="s">
        <v>335</v>
      </c>
      <c r="B306" s="88" t="s">
        <v>79</v>
      </c>
      <c r="C306" s="24">
        <v>0</v>
      </c>
      <c r="D306" s="24">
        <v>500</v>
      </c>
      <c r="E306" s="25">
        <v>0</v>
      </c>
      <c r="F306" s="25">
        <v>0</v>
      </c>
      <c r="G306" s="25">
        <f t="shared" si="53"/>
        <v>500</v>
      </c>
      <c r="H306" s="24">
        <v>-500</v>
      </c>
      <c r="I306" s="25">
        <v>0</v>
      </c>
      <c r="J306" s="25">
        <v>0</v>
      </c>
      <c r="K306" s="91">
        <f t="shared" si="54"/>
        <v>0</v>
      </c>
      <c r="L306" s="27">
        <v>0</v>
      </c>
      <c r="M306" s="27">
        <v>0</v>
      </c>
      <c r="N306" s="28">
        <f t="shared" si="55"/>
        <v>0</v>
      </c>
    </row>
    <row r="307" spans="1:14" ht="25.5" customHeight="1" x14ac:dyDescent="0.25">
      <c r="A307" s="20" t="s">
        <v>336</v>
      </c>
      <c r="B307" s="88" t="s">
        <v>79</v>
      </c>
      <c r="C307" s="24"/>
      <c r="D307" s="24">
        <v>0</v>
      </c>
      <c r="E307" s="25"/>
      <c r="F307" s="25"/>
      <c r="G307" s="25">
        <v>3670</v>
      </c>
      <c r="H307" s="24">
        <v>0</v>
      </c>
      <c r="I307" s="25">
        <v>0</v>
      </c>
      <c r="J307" s="25">
        <v>0</v>
      </c>
      <c r="K307" s="91">
        <f t="shared" si="54"/>
        <v>3670</v>
      </c>
      <c r="L307" s="27">
        <v>0</v>
      </c>
      <c r="M307" s="27">
        <v>0</v>
      </c>
      <c r="N307" s="28">
        <f t="shared" si="55"/>
        <v>3670</v>
      </c>
    </row>
    <row r="308" spans="1:14" ht="15" customHeight="1" x14ac:dyDescent="0.25">
      <c r="A308" s="20" t="s">
        <v>337</v>
      </c>
      <c r="B308" s="88" t="s">
        <v>79</v>
      </c>
      <c r="C308" s="24"/>
      <c r="D308" s="24">
        <v>0</v>
      </c>
      <c r="E308" s="25">
        <v>0</v>
      </c>
      <c r="F308" s="25">
        <v>80</v>
      </c>
      <c r="G308" s="25">
        <f t="shared" si="53"/>
        <v>80</v>
      </c>
      <c r="H308" s="24">
        <v>0</v>
      </c>
      <c r="I308" s="25">
        <v>0</v>
      </c>
      <c r="J308" s="25">
        <v>0</v>
      </c>
      <c r="K308" s="91">
        <f t="shared" si="54"/>
        <v>80</v>
      </c>
      <c r="L308" s="27">
        <v>0</v>
      </c>
      <c r="M308" s="27">
        <v>0</v>
      </c>
      <c r="N308" s="28">
        <f t="shared" si="55"/>
        <v>80</v>
      </c>
    </row>
    <row r="309" spans="1:14" ht="15" customHeight="1" x14ac:dyDescent="0.25">
      <c r="A309" s="52" t="s">
        <v>338</v>
      </c>
      <c r="B309" s="93" t="s">
        <v>42</v>
      </c>
      <c r="C309" s="55"/>
      <c r="D309" s="55">
        <v>0</v>
      </c>
      <c r="E309" s="56"/>
      <c r="F309" s="56"/>
      <c r="G309" s="56">
        <v>0</v>
      </c>
      <c r="H309" s="24">
        <v>30</v>
      </c>
      <c r="I309" s="25">
        <v>0</v>
      </c>
      <c r="J309" s="25">
        <v>0</v>
      </c>
      <c r="K309" s="91">
        <f t="shared" si="54"/>
        <v>30</v>
      </c>
      <c r="L309" s="27">
        <v>0</v>
      </c>
      <c r="M309" s="27">
        <v>0</v>
      </c>
      <c r="N309" s="28">
        <f t="shared" si="55"/>
        <v>30</v>
      </c>
    </row>
    <row r="310" spans="1:14" ht="25.5" customHeight="1" x14ac:dyDescent="0.25">
      <c r="A310" s="20" t="s">
        <v>339</v>
      </c>
      <c r="B310" s="88" t="s">
        <v>79</v>
      </c>
      <c r="C310" s="24"/>
      <c r="D310" s="24">
        <v>0</v>
      </c>
      <c r="E310" s="25">
        <v>0</v>
      </c>
      <c r="F310" s="25">
        <v>200</v>
      </c>
      <c r="G310" s="25">
        <f t="shared" si="53"/>
        <v>200</v>
      </c>
      <c r="H310" s="24">
        <v>0</v>
      </c>
      <c r="I310" s="25">
        <v>0</v>
      </c>
      <c r="J310" s="25">
        <v>0</v>
      </c>
      <c r="K310" s="91">
        <f t="shared" si="54"/>
        <v>200</v>
      </c>
      <c r="L310" s="27">
        <v>0</v>
      </c>
      <c r="M310" s="27">
        <v>0</v>
      </c>
      <c r="N310" s="28">
        <f t="shared" si="55"/>
        <v>200</v>
      </c>
    </row>
    <row r="311" spans="1:14" ht="42" customHeight="1" x14ac:dyDescent="0.25">
      <c r="A311" s="52" t="s">
        <v>340</v>
      </c>
      <c r="B311" s="93" t="s">
        <v>79</v>
      </c>
      <c r="C311" s="55"/>
      <c r="D311" s="55">
        <v>0</v>
      </c>
      <c r="E311" s="56"/>
      <c r="F311" s="56"/>
      <c r="G311" s="56">
        <v>0</v>
      </c>
      <c r="H311" s="24">
        <v>25</v>
      </c>
      <c r="I311" s="25">
        <v>0</v>
      </c>
      <c r="J311" s="25">
        <v>0</v>
      </c>
      <c r="K311" s="91">
        <f t="shared" si="54"/>
        <v>25</v>
      </c>
      <c r="L311" s="27">
        <v>0</v>
      </c>
      <c r="M311" s="27">
        <v>0</v>
      </c>
      <c r="N311" s="28">
        <f t="shared" si="55"/>
        <v>25</v>
      </c>
    </row>
    <row r="312" spans="1:14" x14ac:dyDescent="0.25">
      <c r="A312" s="125" t="s">
        <v>341</v>
      </c>
      <c r="B312" s="88" t="s">
        <v>79</v>
      </c>
      <c r="C312" s="24">
        <v>100</v>
      </c>
      <c r="D312" s="24">
        <v>100</v>
      </c>
      <c r="E312" s="25">
        <v>0</v>
      </c>
      <c r="F312" s="25">
        <v>0</v>
      </c>
      <c r="G312" s="25">
        <f t="shared" si="53"/>
        <v>100</v>
      </c>
      <c r="H312" s="24">
        <v>-100</v>
      </c>
      <c r="I312" s="25">
        <v>0</v>
      </c>
      <c r="J312" s="25">
        <v>0</v>
      </c>
      <c r="K312" s="91">
        <f t="shared" si="54"/>
        <v>0</v>
      </c>
      <c r="L312" s="27">
        <v>0</v>
      </c>
      <c r="M312" s="27">
        <v>0</v>
      </c>
      <c r="N312" s="28">
        <f t="shared" si="55"/>
        <v>0</v>
      </c>
    </row>
    <row r="313" spans="1:14" x14ac:dyDescent="0.25">
      <c r="A313" s="125" t="s">
        <v>341</v>
      </c>
      <c r="B313" s="88" t="s">
        <v>42</v>
      </c>
      <c r="C313" s="24"/>
      <c r="D313" s="24">
        <v>0</v>
      </c>
      <c r="E313" s="25"/>
      <c r="F313" s="25"/>
      <c r="G313" s="25">
        <v>0</v>
      </c>
      <c r="H313" s="24">
        <v>100</v>
      </c>
      <c r="I313" s="25">
        <v>0</v>
      </c>
      <c r="J313" s="25">
        <v>0</v>
      </c>
      <c r="K313" s="91">
        <f t="shared" si="54"/>
        <v>100</v>
      </c>
      <c r="L313" s="27">
        <v>0</v>
      </c>
      <c r="M313" s="27">
        <v>0</v>
      </c>
      <c r="N313" s="28">
        <f t="shared" si="55"/>
        <v>100</v>
      </c>
    </row>
    <row r="314" spans="1:14" x14ac:dyDescent="0.25">
      <c r="A314" s="125" t="s">
        <v>342</v>
      </c>
      <c r="B314" s="88" t="s">
        <v>79</v>
      </c>
      <c r="C314" s="24">
        <v>1990</v>
      </c>
      <c r="D314" s="24">
        <v>2200</v>
      </c>
      <c r="E314" s="25">
        <v>0</v>
      </c>
      <c r="F314" s="25">
        <v>0</v>
      </c>
      <c r="G314" s="25">
        <f t="shared" si="53"/>
        <v>2200</v>
      </c>
      <c r="H314" s="24">
        <v>0</v>
      </c>
      <c r="I314" s="25">
        <v>0</v>
      </c>
      <c r="J314" s="25">
        <v>0</v>
      </c>
      <c r="K314" s="91">
        <f t="shared" si="54"/>
        <v>2200</v>
      </c>
      <c r="L314" s="27">
        <v>0</v>
      </c>
      <c r="M314" s="27">
        <v>0</v>
      </c>
      <c r="N314" s="28">
        <f t="shared" si="55"/>
        <v>2200</v>
      </c>
    </row>
    <row r="315" spans="1:14" x14ac:dyDescent="0.25">
      <c r="A315" s="125" t="s">
        <v>343</v>
      </c>
      <c r="B315" s="88" t="s">
        <v>79</v>
      </c>
      <c r="C315" s="24">
        <v>20</v>
      </c>
      <c r="D315" s="24">
        <v>15</v>
      </c>
      <c r="E315" s="25">
        <v>0</v>
      </c>
      <c r="F315" s="25">
        <v>0</v>
      </c>
      <c r="G315" s="25">
        <f t="shared" si="53"/>
        <v>15</v>
      </c>
      <c r="H315" s="24">
        <v>-15</v>
      </c>
      <c r="I315" s="25">
        <v>0</v>
      </c>
      <c r="J315" s="25">
        <v>0</v>
      </c>
      <c r="K315" s="91">
        <f t="shared" si="54"/>
        <v>0</v>
      </c>
      <c r="L315" s="27">
        <v>0</v>
      </c>
      <c r="M315" s="27">
        <v>0</v>
      </c>
      <c r="N315" s="28">
        <f t="shared" si="55"/>
        <v>0</v>
      </c>
    </row>
    <row r="316" spans="1:14" x14ac:dyDescent="0.25">
      <c r="A316" s="125" t="s">
        <v>343</v>
      </c>
      <c r="B316" s="88" t="s">
        <v>42</v>
      </c>
      <c r="C316" s="24"/>
      <c r="D316" s="24">
        <v>0</v>
      </c>
      <c r="E316" s="25"/>
      <c r="F316" s="25"/>
      <c r="G316" s="25">
        <v>0</v>
      </c>
      <c r="H316" s="24">
        <v>15</v>
      </c>
      <c r="I316" s="25">
        <v>0</v>
      </c>
      <c r="J316" s="25">
        <v>0</v>
      </c>
      <c r="K316" s="91">
        <f t="shared" si="54"/>
        <v>15</v>
      </c>
      <c r="L316" s="27">
        <v>0</v>
      </c>
      <c r="M316" s="27">
        <v>0</v>
      </c>
      <c r="N316" s="28">
        <f t="shared" si="55"/>
        <v>15</v>
      </c>
    </row>
    <row r="317" spans="1:14" x14ac:dyDescent="0.25">
      <c r="A317" s="124" t="s">
        <v>344</v>
      </c>
      <c r="B317" s="93" t="s">
        <v>79</v>
      </c>
      <c r="C317" s="55">
        <v>1081</v>
      </c>
      <c r="D317" s="55">
        <v>1081</v>
      </c>
      <c r="E317" s="56">
        <v>0</v>
      </c>
      <c r="F317" s="56">
        <v>0</v>
      </c>
      <c r="G317" s="56">
        <f t="shared" si="53"/>
        <v>1081</v>
      </c>
      <c r="H317" s="55">
        <v>0</v>
      </c>
      <c r="I317" s="56">
        <v>0</v>
      </c>
      <c r="J317" s="56">
        <v>0</v>
      </c>
      <c r="K317" s="91">
        <f t="shared" si="54"/>
        <v>1081</v>
      </c>
      <c r="L317" s="27">
        <v>0</v>
      </c>
      <c r="M317" s="27">
        <v>0</v>
      </c>
      <c r="N317" s="28">
        <f t="shared" si="55"/>
        <v>1081</v>
      </c>
    </row>
    <row r="318" spans="1:14" x14ac:dyDescent="0.25">
      <c r="A318" s="125" t="s">
        <v>345</v>
      </c>
      <c r="B318" s="88" t="s">
        <v>79</v>
      </c>
      <c r="C318" s="24">
        <v>50</v>
      </c>
      <c r="D318" s="24">
        <v>50</v>
      </c>
      <c r="E318" s="25">
        <v>0</v>
      </c>
      <c r="F318" s="25">
        <v>0</v>
      </c>
      <c r="G318" s="25">
        <f t="shared" si="53"/>
        <v>50</v>
      </c>
      <c r="H318" s="24">
        <v>-50</v>
      </c>
      <c r="I318" s="25">
        <v>0</v>
      </c>
      <c r="J318" s="25">
        <v>0</v>
      </c>
      <c r="K318" s="91">
        <f t="shared" si="54"/>
        <v>0</v>
      </c>
      <c r="L318" s="27">
        <v>0</v>
      </c>
      <c r="M318" s="27">
        <v>0</v>
      </c>
      <c r="N318" s="28">
        <f t="shared" si="55"/>
        <v>0</v>
      </c>
    </row>
    <row r="319" spans="1:14" x14ac:dyDescent="0.25">
      <c r="A319" s="125" t="s">
        <v>346</v>
      </c>
      <c r="B319" s="88" t="s">
        <v>42</v>
      </c>
      <c r="C319" s="24"/>
      <c r="D319" s="24">
        <v>0</v>
      </c>
      <c r="E319" s="25"/>
      <c r="F319" s="25"/>
      <c r="G319" s="25">
        <v>0</v>
      </c>
      <c r="H319" s="24">
        <v>50</v>
      </c>
      <c r="I319" s="25">
        <v>0</v>
      </c>
      <c r="J319" s="25">
        <v>0</v>
      </c>
      <c r="K319" s="91">
        <f t="shared" si="54"/>
        <v>50</v>
      </c>
      <c r="L319" s="27">
        <v>0</v>
      </c>
      <c r="M319" s="27">
        <v>0</v>
      </c>
      <c r="N319" s="28">
        <f t="shared" si="55"/>
        <v>50</v>
      </c>
    </row>
    <row r="320" spans="1:14" x14ac:dyDescent="0.25">
      <c r="A320" s="125" t="s">
        <v>347</v>
      </c>
      <c r="B320" s="88" t="s">
        <v>79</v>
      </c>
      <c r="C320" s="24">
        <v>200</v>
      </c>
      <c r="D320" s="24">
        <v>200</v>
      </c>
      <c r="E320" s="25">
        <v>0</v>
      </c>
      <c r="F320" s="25">
        <v>0</v>
      </c>
      <c r="G320" s="25">
        <f t="shared" si="53"/>
        <v>200</v>
      </c>
      <c r="H320" s="24">
        <v>0</v>
      </c>
      <c r="I320" s="25">
        <v>0</v>
      </c>
      <c r="J320" s="25">
        <v>0</v>
      </c>
      <c r="K320" s="91">
        <f t="shared" si="54"/>
        <v>200</v>
      </c>
      <c r="L320" s="27">
        <v>0</v>
      </c>
      <c r="M320" s="27">
        <v>0</v>
      </c>
      <c r="N320" s="28">
        <f t="shared" si="55"/>
        <v>200</v>
      </c>
    </row>
    <row r="321" spans="1:15" x14ac:dyDescent="0.25">
      <c r="A321" s="125" t="s">
        <v>348</v>
      </c>
      <c r="B321" s="88" t="s">
        <v>79</v>
      </c>
      <c r="C321" s="24">
        <v>0</v>
      </c>
      <c r="D321" s="24">
        <v>150</v>
      </c>
      <c r="E321" s="25">
        <v>0</v>
      </c>
      <c r="F321" s="25">
        <v>0</v>
      </c>
      <c r="G321" s="25">
        <f t="shared" si="53"/>
        <v>150</v>
      </c>
      <c r="H321" s="24">
        <v>0</v>
      </c>
      <c r="I321" s="25">
        <v>0</v>
      </c>
      <c r="J321" s="25">
        <v>0</v>
      </c>
      <c r="K321" s="91">
        <f t="shared" si="54"/>
        <v>150</v>
      </c>
      <c r="L321" s="27">
        <v>0</v>
      </c>
      <c r="M321" s="27">
        <v>0</v>
      </c>
      <c r="N321" s="28">
        <f t="shared" si="55"/>
        <v>150</v>
      </c>
    </row>
    <row r="322" spans="1:15" ht="25.5" x14ac:dyDescent="0.25">
      <c r="A322" s="29" t="s">
        <v>349</v>
      </c>
      <c r="B322" s="107" t="s">
        <v>79</v>
      </c>
      <c r="C322" s="32"/>
      <c r="D322" s="32">
        <v>0</v>
      </c>
      <c r="E322" s="33"/>
      <c r="F322" s="33"/>
      <c r="G322" s="33">
        <v>0</v>
      </c>
      <c r="H322" s="32">
        <v>250</v>
      </c>
      <c r="I322" s="33">
        <v>0</v>
      </c>
      <c r="J322" s="33">
        <v>0</v>
      </c>
      <c r="K322" s="91">
        <f t="shared" si="54"/>
        <v>250</v>
      </c>
      <c r="L322" s="27">
        <v>0</v>
      </c>
      <c r="M322" s="27">
        <v>0</v>
      </c>
      <c r="N322" s="28">
        <f t="shared" si="55"/>
        <v>250</v>
      </c>
    </row>
    <row r="323" spans="1:15" ht="25.5" x14ac:dyDescent="0.25">
      <c r="A323" s="29" t="s">
        <v>350</v>
      </c>
      <c r="B323" s="107" t="s">
        <v>79</v>
      </c>
      <c r="C323" s="32"/>
      <c r="D323" s="32">
        <v>0</v>
      </c>
      <c r="E323" s="33"/>
      <c r="F323" s="33"/>
      <c r="G323" s="33"/>
      <c r="H323" s="32"/>
      <c r="I323" s="33"/>
      <c r="J323" s="33"/>
      <c r="K323" s="91">
        <v>0</v>
      </c>
      <c r="L323" s="34">
        <v>0</v>
      </c>
      <c r="M323" s="34">
        <v>100</v>
      </c>
      <c r="N323" s="28">
        <f t="shared" si="55"/>
        <v>100</v>
      </c>
    </row>
    <row r="324" spans="1:15" x14ac:dyDescent="0.25">
      <c r="A324" s="29" t="s">
        <v>351</v>
      </c>
      <c r="B324" s="107" t="s">
        <v>79</v>
      </c>
      <c r="C324" s="32"/>
      <c r="D324" s="32">
        <v>0</v>
      </c>
      <c r="E324" s="33"/>
      <c r="F324" s="33"/>
      <c r="G324" s="33"/>
      <c r="H324" s="32"/>
      <c r="I324" s="33"/>
      <c r="J324" s="33"/>
      <c r="K324" s="91">
        <v>0</v>
      </c>
      <c r="L324" s="34">
        <v>0</v>
      </c>
      <c r="M324" s="34">
        <v>50</v>
      </c>
      <c r="N324" s="28">
        <f t="shared" si="55"/>
        <v>50</v>
      </c>
    </row>
    <row r="325" spans="1:15" ht="25.5" x14ac:dyDescent="0.25">
      <c r="A325" s="20" t="s">
        <v>352</v>
      </c>
      <c r="B325" s="88" t="s">
        <v>79</v>
      </c>
      <c r="C325" s="24"/>
      <c r="D325" s="24">
        <v>0</v>
      </c>
      <c r="E325" s="25"/>
      <c r="F325" s="25"/>
      <c r="G325" s="25"/>
      <c r="H325" s="24"/>
      <c r="I325" s="25"/>
      <c r="J325" s="25"/>
      <c r="K325" s="91">
        <v>0</v>
      </c>
      <c r="L325" s="27">
        <v>0</v>
      </c>
      <c r="M325" s="27">
        <v>44</v>
      </c>
      <c r="N325" s="28">
        <f t="shared" si="55"/>
        <v>44</v>
      </c>
    </row>
    <row r="326" spans="1:15" ht="51" x14ac:dyDescent="0.25">
      <c r="A326" s="20" t="s">
        <v>353</v>
      </c>
      <c r="B326" s="88" t="s">
        <v>79</v>
      </c>
      <c r="C326" s="24"/>
      <c r="D326" s="24">
        <v>0</v>
      </c>
      <c r="E326" s="25"/>
      <c r="F326" s="25"/>
      <c r="G326" s="25"/>
      <c r="H326" s="24"/>
      <c r="I326" s="25"/>
      <c r="J326" s="25"/>
      <c r="K326" s="91">
        <v>0</v>
      </c>
      <c r="L326" s="27">
        <v>0</v>
      </c>
      <c r="M326" s="27">
        <v>100</v>
      </c>
      <c r="N326" s="28">
        <f t="shared" si="55"/>
        <v>100</v>
      </c>
    </row>
    <row r="327" spans="1:15" ht="51" x14ac:dyDescent="0.25">
      <c r="A327" s="29" t="s">
        <v>354</v>
      </c>
      <c r="B327" s="107" t="s">
        <v>79</v>
      </c>
      <c r="C327" s="32"/>
      <c r="D327" s="32">
        <v>0</v>
      </c>
      <c r="E327" s="33"/>
      <c r="F327" s="33"/>
      <c r="G327" s="33"/>
      <c r="H327" s="32"/>
      <c r="I327" s="33"/>
      <c r="J327" s="33"/>
      <c r="K327" s="91">
        <v>0</v>
      </c>
      <c r="L327" s="34">
        <v>0</v>
      </c>
      <c r="M327" s="34">
        <v>437</v>
      </c>
      <c r="N327" s="28">
        <f t="shared" si="55"/>
        <v>437</v>
      </c>
    </row>
    <row r="328" spans="1:15" x14ac:dyDescent="0.25">
      <c r="A328" s="29" t="s">
        <v>355</v>
      </c>
      <c r="B328" s="107" t="s">
        <v>79</v>
      </c>
      <c r="C328" s="32"/>
      <c r="D328" s="32">
        <v>0</v>
      </c>
      <c r="E328" s="33"/>
      <c r="F328" s="33"/>
      <c r="G328" s="33"/>
      <c r="H328" s="32"/>
      <c r="I328" s="33"/>
      <c r="J328" s="33"/>
      <c r="K328" s="91">
        <v>0</v>
      </c>
      <c r="L328" s="34">
        <v>0</v>
      </c>
      <c r="M328" s="34">
        <v>149.44</v>
      </c>
      <c r="N328" s="28">
        <f t="shared" si="55"/>
        <v>149.44</v>
      </c>
    </row>
    <row r="329" spans="1:15" ht="15.75" thickBot="1" x14ac:dyDescent="0.3">
      <c r="A329" s="120" t="s">
        <v>356</v>
      </c>
      <c r="B329" s="107"/>
      <c r="C329" s="32">
        <v>1491.43</v>
      </c>
      <c r="D329" s="32">
        <v>5051.5</v>
      </c>
      <c r="E329" s="33">
        <v>8.85</v>
      </c>
      <c r="F329" s="33">
        <f>200+4.9</f>
        <v>204.9</v>
      </c>
      <c r="G329" s="33">
        <f t="shared" si="53"/>
        <v>5265.25</v>
      </c>
      <c r="H329" s="32">
        <v>-1015.68</v>
      </c>
      <c r="I329" s="33">
        <v>0</v>
      </c>
      <c r="J329" s="33">
        <v>0</v>
      </c>
      <c r="K329" s="91">
        <f t="shared" si="54"/>
        <v>4249.57</v>
      </c>
      <c r="L329" s="34">
        <v>0</v>
      </c>
      <c r="M329" s="34">
        <v>-722.87</v>
      </c>
      <c r="N329" s="28">
        <f t="shared" si="55"/>
        <v>3526.7</v>
      </c>
    </row>
    <row r="330" spans="1:15" ht="15.75" thickBot="1" x14ac:dyDescent="0.3">
      <c r="A330" s="121" t="s">
        <v>357</v>
      </c>
      <c r="B330" s="109"/>
      <c r="C330" s="126">
        <f>C332+C334</f>
        <v>17130.3</v>
      </c>
      <c r="D330" s="126">
        <f>D332+D334</f>
        <v>5357</v>
      </c>
      <c r="E330" s="126">
        <f t="shared" ref="E330:K330" si="56">E332+E334</f>
        <v>-1991</v>
      </c>
      <c r="F330" s="126">
        <f t="shared" si="56"/>
        <v>8500</v>
      </c>
      <c r="G330" s="126">
        <f t="shared" si="56"/>
        <v>13869</v>
      </c>
      <c r="H330" s="126">
        <f t="shared" si="56"/>
        <v>4000</v>
      </c>
      <c r="I330" s="126">
        <f t="shared" si="56"/>
        <v>0</v>
      </c>
      <c r="J330" s="126">
        <f t="shared" si="56"/>
        <v>0</v>
      </c>
      <c r="K330" s="126">
        <f t="shared" si="56"/>
        <v>17869</v>
      </c>
      <c r="L330" s="112">
        <f>L332+L334</f>
        <v>850</v>
      </c>
      <c r="M330" s="112">
        <f t="shared" ref="M330:N330" si="57">M332+M334</f>
        <v>0</v>
      </c>
      <c r="N330" s="111">
        <f t="shared" si="57"/>
        <v>18719</v>
      </c>
      <c r="O330" s="39"/>
    </row>
    <row r="331" spans="1:15" x14ac:dyDescent="0.25">
      <c r="A331" s="124" t="s">
        <v>30</v>
      </c>
      <c r="B331" s="93"/>
      <c r="C331" s="55"/>
      <c r="D331" s="55"/>
      <c r="E331" s="56"/>
      <c r="F331" s="56"/>
      <c r="G331" s="56"/>
      <c r="H331" s="55"/>
      <c r="I331" s="56"/>
      <c r="J331" s="56"/>
      <c r="K331" s="26"/>
      <c r="L331" s="57"/>
      <c r="M331" s="57"/>
      <c r="N331" s="58"/>
    </row>
    <row r="332" spans="1:15" x14ac:dyDescent="0.25">
      <c r="A332" s="125" t="s">
        <v>358</v>
      </c>
      <c r="B332" s="88"/>
      <c r="C332" s="24">
        <v>0</v>
      </c>
      <c r="D332" s="24">
        <v>0</v>
      </c>
      <c r="E332" s="25">
        <v>0</v>
      </c>
      <c r="F332" s="25">
        <v>0</v>
      </c>
      <c r="G332" s="25">
        <f>D332+E332+F332</f>
        <v>0</v>
      </c>
      <c r="H332" s="24">
        <v>0</v>
      </c>
      <c r="I332" s="25">
        <v>0</v>
      </c>
      <c r="J332" s="25">
        <v>0</v>
      </c>
      <c r="K332" s="91">
        <f>G332+H332+I332+J332</f>
        <v>0</v>
      </c>
      <c r="L332" s="27">
        <v>1392</v>
      </c>
      <c r="M332" s="27">
        <v>0</v>
      </c>
      <c r="N332" s="28">
        <f>K332+L332+M332</f>
        <v>1392</v>
      </c>
    </row>
    <row r="333" spans="1:15" ht="33.75" x14ac:dyDescent="0.25">
      <c r="A333" s="198" t="s">
        <v>469</v>
      </c>
      <c r="B333" s="199" t="s">
        <v>79</v>
      </c>
      <c r="C333" s="200"/>
      <c r="D333" s="200">
        <v>0</v>
      </c>
      <c r="E333" s="201"/>
      <c r="F333" s="201"/>
      <c r="G333" s="202"/>
      <c r="H333" s="200"/>
      <c r="I333" s="201"/>
      <c r="J333" s="201"/>
      <c r="K333" s="202">
        <v>0</v>
      </c>
      <c r="L333" s="200">
        <v>1392</v>
      </c>
      <c r="M333" s="200">
        <v>0</v>
      </c>
      <c r="N333" s="203">
        <f>K333+L333+M333</f>
        <v>1392</v>
      </c>
    </row>
    <row r="334" spans="1:15" ht="15.75" thickBot="1" x14ac:dyDescent="0.3">
      <c r="A334" s="120" t="s">
        <v>359</v>
      </c>
      <c r="B334" s="107"/>
      <c r="C334" s="32">
        <v>17130.3</v>
      </c>
      <c r="D334" s="32">
        <v>5357</v>
      </c>
      <c r="E334" s="33">
        <f>-641-350-1000</f>
        <v>-1991</v>
      </c>
      <c r="F334" s="33">
        <v>8500</v>
      </c>
      <c r="G334" s="25">
        <f>D334+E334+F334+2153-650+103+397</f>
        <v>13869</v>
      </c>
      <c r="H334" s="32">
        <v>4000</v>
      </c>
      <c r="I334" s="33">
        <v>0</v>
      </c>
      <c r="J334" s="33">
        <v>0</v>
      </c>
      <c r="K334" s="91">
        <v>17869</v>
      </c>
      <c r="L334" s="34">
        <f>200+650-1392</f>
        <v>-542</v>
      </c>
      <c r="M334" s="34">
        <v>0</v>
      </c>
      <c r="N334" s="28">
        <f>K334+L334+M334</f>
        <v>17327</v>
      </c>
    </row>
    <row r="335" spans="1:15" ht="15.75" thickBot="1" x14ac:dyDescent="0.3">
      <c r="A335" s="121" t="s">
        <v>360</v>
      </c>
      <c r="B335" s="109"/>
      <c r="C335" s="126">
        <f>SUM(C337:C354)</f>
        <v>19345.759999999998</v>
      </c>
      <c r="D335" s="126">
        <f>D337+D338+D339+D340+D341+D342+D343+D344+D345+D346+D347+D348+D349+D350+D351+D354+D352+D353</f>
        <v>18478.559999999998</v>
      </c>
      <c r="E335" s="126">
        <f t="shared" ref="E335:N335" si="58">E337+E338+E339+E340+E341+E342+E343+E344+E345+E346+E347+E348+E349+E350+E351+E354+E352+E353</f>
        <v>500</v>
      </c>
      <c r="F335" s="126">
        <f t="shared" si="58"/>
        <v>1125.3</v>
      </c>
      <c r="G335" s="126">
        <f t="shared" si="58"/>
        <v>20103.86</v>
      </c>
      <c r="H335" s="126">
        <f t="shared" si="58"/>
        <v>0</v>
      </c>
      <c r="I335" s="126">
        <f t="shared" si="58"/>
        <v>0</v>
      </c>
      <c r="J335" s="126">
        <f t="shared" si="58"/>
        <v>0</v>
      </c>
      <c r="K335" s="126">
        <f t="shared" si="58"/>
        <v>20103.86</v>
      </c>
      <c r="L335" s="126">
        <f t="shared" si="58"/>
        <v>269.7</v>
      </c>
      <c r="M335" s="126">
        <f t="shared" si="58"/>
        <v>200</v>
      </c>
      <c r="N335" s="126">
        <f t="shared" si="58"/>
        <v>20573.559999999998</v>
      </c>
      <c r="O335" s="39"/>
    </row>
    <row r="336" spans="1:15" x14ac:dyDescent="0.25">
      <c r="A336" s="124" t="s">
        <v>30</v>
      </c>
      <c r="B336" s="93"/>
      <c r="C336" s="55"/>
      <c r="D336" s="55"/>
      <c r="E336" s="56"/>
      <c r="F336" s="56"/>
      <c r="G336" s="56"/>
      <c r="H336" s="55"/>
      <c r="I336" s="56"/>
      <c r="J336" s="56"/>
      <c r="K336" s="26"/>
      <c r="L336" s="57"/>
      <c r="M336" s="57"/>
      <c r="N336" s="58"/>
    </row>
    <row r="337" spans="1:14" ht="25.5" customHeight="1" x14ac:dyDescent="0.25">
      <c r="A337" s="20" t="s">
        <v>361</v>
      </c>
      <c r="B337" s="88"/>
      <c r="C337" s="24">
        <v>993</v>
      </c>
      <c r="D337" s="24">
        <v>0</v>
      </c>
      <c r="E337" s="25">
        <v>0</v>
      </c>
      <c r="F337" s="25">
        <v>0</v>
      </c>
      <c r="G337" s="25">
        <f>D337+E337+F337</f>
        <v>0</v>
      </c>
      <c r="H337" s="24">
        <v>0</v>
      </c>
      <c r="I337" s="25">
        <v>0</v>
      </c>
      <c r="J337" s="25">
        <v>0</v>
      </c>
      <c r="K337" s="91">
        <f>G337+H337+I337+J337</f>
        <v>0</v>
      </c>
      <c r="L337" s="27">
        <v>0</v>
      </c>
      <c r="M337" s="27">
        <v>0</v>
      </c>
      <c r="N337" s="28">
        <f>K337+L337+M337</f>
        <v>0</v>
      </c>
    </row>
    <row r="338" spans="1:14" ht="41.25" customHeight="1" x14ac:dyDescent="0.25">
      <c r="A338" s="20" t="s">
        <v>362</v>
      </c>
      <c r="B338" s="88" t="s">
        <v>363</v>
      </c>
      <c r="C338" s="24">
        <v>1058.3</v>
      </c>
      <c r="D338" s="24">
        <v>1000</v>
      </c>
      <c r="E338" s="25">
        <v>0</v>
      </c>
      <c r="F338" s="25">
        <v>-130</v>
      </c>
      <c r="G338" s="25">
        <f t="shared" ref="G338:G354" si="59">D338+E338+F338</f>
        <v>870</v>
      </c>
      <c r="H338" s="24">
        <v>0</v>
      </c>
      <c r="I338" s="25">
        <v>0</v>
      </c>
      <c r="J338" s="25">
        <v>0</v>
      </c>
      <c r="K338" s="91">
        <f t="shared" ref="K338:K354" si="60">G338+H338+I338+J338</f>
        <v>870</v>
      </c>
      <c r="L338" s="27">
        <v>0</v>
      </c>
      <c r="M338" s="27">
        <v>0</v>
      </c>
      <c r="N338" s="28">
        <f t="shared" ref="N338:N354" si="61">K338+L338+M338</f>
        <v>870</v>
      </c>
    </row>
    <row r="339" spans="1:14" ht="25.5" customHeight="1" x14ac:dyDescent="0.25">
      <c r="A339" s="20" t="s">
        <v>364</v>
      </c>
      <c r="B339" s="88" t="s">
        <v>365</v>
      </c>
      <c r="C339" s="24">
        <v>473</v>
      </c>
      <c r="D339" s="24">
        <v>400</v>
      </c>
      <c r="E339" s="25">
        <v>0</v>
      </c>
      <c r="F339" s="25">
        <v>130</v>
      </c>
      <c r="G339" s="25">
        <f t="shared" si="59"/>
        <v>530</v>
      </c>
      <c r="H339" s="24">
        <v>0</v>
      </c>
      <c r="I339" s="25">
        <v>0</v>
      </c>
      <c r="J339" s="25">
        <v>0</v>
      </c>
      <c r="K339" s="91">
        <f t="shared" si="60"/>
        <v>530</v>
      </c>
      <c r="L339" s="27">
        <v>0</v>
      </c>
      <c r="M339" s="27">
        <v>0</v>
      </c>
      <c r="N339" s="28">
        <f t="shared" si="61"/>
        <v>530</v>
      </c>
    </row>
    <row r="340" spans="1:14" ht="25.5" x14ac:dyDescent="0.25">
      <c r="A340" s="20" t="s">
        <v>366</v>
      </c>
      <c r="B340" s="88" t="s">
        <v>79</v>
      </c>
      <c r="C340" s="24">
        <v>5519</v>
      </c>
      <c r="D340" s="24">
        <v>5679</v>
      </c>
      <c r="E340" s="25">
        <v>0</v>
      </c>
      <c r="F340" s="25">
        <v>378</v>
      </c>
      <c r="G340" s="25">
        <f t="shared" si="59"/>
        <v>6057</v>
      </c>
      <c r="H340" s="24">
        <v>0</v>
      </c>
      <c r="I340" s="25">
        <v>0</v>
      </c>
      <c r="J340" s="25">
        <v>0</v>
      </c>
      <c r="K340" s="91">
        <f t="shared" si="60"/>
        <v>6057</v>
      </c>
      <c r="L340" s="27">
        <v>0</v>
      </c>
      <c r="M340" s="27">
        <v>0</v>
      </c>
      <c r="N340" s="28">
        <f t="shared" si="61"/>
        <v>6057</v>
      </c>
    </row>
    <row r="341" spans="1:14" x14ac:dyDescent="0.25">
      <c r="A341" s="20" t="s">
        <v>367</v>
      </c>
      <c r="B341" s="88" t="s">
        <v>79</v>
      </c>
      <c r="C341" s="24">
        <v>0</v>
      </c>
      <c r="D341" s="24">
        <v>378</v>
      </c>
      <c r="E341" s="25">
        <v>0</v>
      </c>
      <c r="F341" s="25">
        <v>-378</v>
      </c>
      <c r="G341" s="25">
        <f t="shared" si="59"/>
        <v>0</v>
      </c>
      <c r="H341" s="24">
        <v>0</v>
      </c>
      <c r="I341" s="25">
        <v>0</v>
      </c>
      <c r="J341" s="25">
        <v>0</v>
      </c>
      <c r="K341" s="91">
        <f t="shared" si="60"/>
        <v>0</v>
      </c>
      <c r="L341" s="27">
        <v>0</v>
      </c>
      <c r="M341" s="27">
        <v>0</v>
      </c>
      <c r="N341" s="28">
        <f t="shared" si="61"/>
        <v>0</v>
      </c>
    </row>
    <row r="342" spans="1:14" ht="15" customHeight="1" x14ac:dyDescent="0.25">
      <c r="A342" s="20" t="s">
        <v>368</v>
      </c>
      <c r="B342" s="88" t="s">
        <v>79</v>
      </c>
      <c r="C342" s="24">
        <v>660</v>
      </c>
      <c r="D342" s="24">
        <v>450</v>
      </c>
      <c r="E342" s="25">
        <v>0</v>
      </c>
      <c r="F342" s="25">
        <v>0</v>
      </c>
      <c r="G342" s="25">
        <f t="shared" si="59"/>
        <v>450</v>
      </c>
      <c r="H342" s="24">
        <v>0</v>
      </c>
      <c r="I342" s="25">
        <v>0</v>
      </c>
      <c r="J342" s="25">
        <v>0</v>
      </c>
      <c r="K342" s="91">
        <f t="shared" si="60"/>
        <v>450</v>
      </c>
      <c r="L342" s="27">
        <v>0</v>
      </c>
      <c r="M342" s="27">
        <v>0</v>
      </c>
      <c r="N342" s="28">
        <f t="shared" si="61"/>
        <v>450</v>
      </c>
    </row>
    <row r="343" spans="1:14" ht="15" customHeight="1" x14ac:dyDescent="0.25">
      <c r="A343" s="20" t="s">
        <v>369</v>
      </c>
      <c r="B343" s="88" t="s">
        <v>50</v>
      </c>
      <c r="C343" s="24"/>
      <c r="D343" s="24">
        <v>0</v>
      </c>
      <c r="E343" s="25"/>
      <c r="F343" s="25"/>
      <c r="G343" s="25"/>
      <c r="H343" s="24"/>
      <c r="I343" s="25"/>
      <c r="J343" s="25"/>
      <c r="K343" s="91">
        <v>0</v>
      </c>
      <c r="L343" s="27">
        <v>32.5</v>
      </c>
      <c r="M343" s="27">
        <v>0</v>
      </c>
      <c r="N343" s="28">
        <f t="shared" si="61"/>
        <v>32.5</v>
      </c>
    </row>
    <row r="344" spans="1:14" ht="25.5" customHeight="1" x14ac:dyDescent="0.25">
      <c r="A344" s="20" t="s">
        <v>370</v>
      </c>
      <c r="B344" s="88" t="s">
        <v>79</v>
      </c>
      <c r="C344" s="24">
        <v>190</v>
      </c>
      <c r="D344" s="24">
        <v>190</v>
      </c>
      <c r="E344" s="25">
        <v>0</v>
      </c>
      <c r="F344" s="25">
        <v>0</v>
      </c>
      <c r="G344" s="25">
        <f t="shared" si="59"/>
        <v>190</v>
      </c>
      <c r="H344" s="24">
        <v>0</v>
      </c>
      <c r="I344" s="25">
        <v>0</v>
      </c>
      <c r="J344" s="25">
        <v>0</v>
      </c>
      <c r="K344" s="91">
        <f t="shared" si="60"/>
        <v>190</v>
      </c>
      <c r="L344" s="27">
        <v>0</v>
      </c>
      <c r="M344" s="27">
        <v>0</v>
      </c>
      <c r="N344" s="28">
        <f t="shared" si="61"/>
        <v>190</v>
      </c>
    </row>
    <row r="345" spans="1:14" x14ac:dyDescent="0.25">
      <c r="A345" s="125" t="s">
        <v>371</v>
      </c>
      <c r="B345" s="88" t="s">
        <v>79</v>
      </c>
      <c r="C345" s="24">
        <v>500</v>
      </c>
      <c r="D345" s="24">
        <v>500</v>
      </c>
      <c r="E345" s="25">
        <v>0</v>
      </c>
      <c r="F345" s="25">
        <v>0</v>
      </c>
      <c r="G345" s="25">
        <f t="shared" si="59"/>
        <v>500</v>
      </c>
      <c r="H345" s="24">
        <v>0</v>
      </c>
      <c r="I345" s="25">
        <v>0</v>
      </c>
      <c r="J345" s="25">
        <v>0</v>
      </c>
      <c r="K345" s="91">
        <f t="shared" si="60"/>
        <v>500</v>
      </c>
      <c r="L345" s="27">
        <v>0</v>
      </c>
      <c r="M345" s="27">
        <v>0</v>
      </c>
      <c r="N345" s="28">
        <f t="shared" si="61"/>
        <v>500</v>
      </c>
    </row>
    <row r="346" spans="1:14" ht="25.5" customHeight="1" x14ac:dyDescent="0.25">
      <c r="A346" s="20" t="s">
        <v>372</v>
      </c>
      <c r="B346" s="88" t="s">
        <v>79</v>
      </c>
      <c r="C346" s="24">
        <v>5</v>
      </c>
      <c r="D346" s="24">
        <v>5</v>
      </c>
      <c r="E346" s="25">
        <v>0</v>
      </c>
      <c r="F346" s="25">
        <v>0</v>
      </c>
      <c r="G346" s="25">
        <f t="shared" si="59"/>
        <v>5</v>
      </c>
      <c r="H346" s="24">
        <v>0</v>
      </c>
      <c r="I346" s="25">
        <v>0</v>
      </c>
      <c r="J346" s="25">
        <v>0</v>
      </c>
      <c r="K346" s="91">
        <f t="shared" si="60"/>
        <v>5</v>
      </c>
      <c r="L346" s="27">
        <v>0</v>
      </c>
      <c r="M346" s="27">
        <v>0</v>
      </c>
      <c r="N346" s="28">
        <f t="shared" si="61"/>
        <v>5</v>
      </c>
    </row>
    <row r="347" spans="1:14" x14ac:dyDescent="0.25">
      <c r="A347" s="125" t="s">
        <v>373</v>
      </c>
      <c r="B347" s="88" t="s">
        <v>79</v>
      </c>
      <c r="C347" s="24">
        <v>15</v>
      </c>
      <c r="D347" s="24">
        <v>15</v>
      </c>
      <c r="E347" s="25">
        <v>0</v>
      </c>
      <c r="F347" s="25">
        <v>0</v>
      </c>
      <c r="G347" s="25">
        <f t="shared" si="59"/>
        <v>15</v>
      </c>
      <c r="H347" s="24">
        <v>0</v>
      </c>
      <c r="I347" s="25">
        <v>0</v>
      </c>
      <c r="J347" s="25">
        <v>0</v>
      </c>
      <c r="K347" s="91">
        <f t="shared" si="60"/>
        <v>15</v>
      </c>
      <c r="L347" s="27">
        <v>0</v>
      </c>
      <c r="M347" s="27">
        <v>0</v>
      </c>
      <c r="N347" s="28">
        <f t="shared" si="61"/>
        <v>15</v>
      </c>
    </row>
    <row r="348" spans="1:14" ht="25.5" customHeight="1" x14ac:dyDescent="0.25">
      <c r="A348" s="20" t="s">
        <v>374</v>
      </c>
      <c r="B348" s="88" t="s">
        <v>79</v>
      </c>
      <c r="C348" s="24">
        <v>70</v>
      </c>
      <c r="D348" s="24">
        <v>70</v>
      </c>
      <c r="E348" s="25">
        <v>0</v>
      </c>
      <c r="F348" s="25">
        <v>0</v>
      </c>
      <c r="G348" s="25">
        <f t="shared" si="59"/>
        <v>70</v>
      </c>
      <c r="H348" s="24">
        <v>0</v>
      </c>
      <c r="I348" s="25">
        <v>0</v>
      </c>
      <c r="J348" s="25">
        <v>0</v>
      </c>
      <c r="K348" s="91">
        <f t="shared" si="60"/>
        <v>70</v>
      </c>
      <c r="L348" s="27">
        <v>0</v>
      </c>
      <c r="M348" s="27">
        <v>0</v>
      </c>
      <c r="N348" s="28">
        <f t="shared" si="61"/>
        <v>70</v>
      </c>
    </row>
    <row r="349" spans="1:14" x14ac:dyDescent="0.25">
      <c r="A349" s="125" t="s">
        <v>375</v>
      </c>
      <c r="B349" s="88" t="s">
        <v>79</v>
      </c>
      <c r="C349" s="24">
        <v>300</v>
      </c>
      <c r="D349" s="24">
        <v>300</v>
      </c>
      <c r="E349" s="25">
        <v>0</v>
      </c>
      <c r="F349" s="25">
        <v>0</v>
      </c>
      <c r="G349" s="25">
        <f t="shared" si="59"/>
        <v>300</v>
      </c>
      <c r="H349" s="24">
        <v>0</v>
      </c>
      <c r="I349" s="25">
        <v>0</v>
      </c>
      <c r="J349" s="25">
        <v>0</v>
      </c>
      <c r="K349" s="91">
        <f t="shared" si="60"/>
        <v>300</v>
      </c>
      <c r="L349" s="27">
        <v>0</v>
      </c>
      <c r="M349" s="27">
        <v>0</v>
      </c>
      <c r="N349" s="28">
        <f t="shared" si="61"/>
        <v>300</v>
      </c>
    </row>
    <row r="350" spans="1:14" x14ac:dyDescent="0.25">
      <c r="A350" s="125" t="s">
        <v>376</v>
      </c>
      <c r="B350" s="88" t="s">
        <v>79</v>
      </c>
      <c r="C350" s="24">
        <v>2</v>
      </c>
      <c r="D350" s="24">
        <v>2</v>
      </c>
      <c r="E350" s="25">
        <v>0</v>
      </c>
      <c r="F350" s="25">
        <v>0</v>
      </c>
      <c r="G350" s="25">
        <f t="shared" si="59"/>
        <v>2</v>
      </c>
      <c r="H350" s="24">
        <v>0</v>
      </c>
      <c r="I350" s="25">
        <v>0</v>
      </c>
      <c r="J350" s="25">
        <v>0</v>
      </c>
      <c r="K350" s="91">
        <f t="shared" si="60"/>
        <v>2</v>
      </c>
      <c r="L350" s="27">
        <v>0</v>
      </c>
      <c r="M350" s="27">
        <v>0</v>
      </c>
      <c r="N350" s="28">
        <f t="shared" si="61"/>
        <v>2</v>
      </c>
    </row>
    <row r="351" spans="1:14" x14ac:dyDescent="0.25">
      <c r="A351" s="125" t="s">
        <v>377</v>
      </c>
      <c r="B351" s="88" t="s">
        <v>79</v>
      </c>
      <c r="C351" s="24">
        <v>120</v>
      </c>
      <c r="D351" s="24">
        <v>120</v>
      </c>
      <c r="E351" s="25">
        <v>0</v>
      </c>
      <c r="F351" s="25">
        <v>0</v>
      </c>
      <c r="G351" s="25">
        <f t="shared" si="59"/>
        <v>120</v>
      </c>
      <c r="H351" s="24">
        <v>0</v>
      </c>
      <c r="I351" s="25">
        <v>0</v>
      </c>
      <c r="J351" s="25">
        <v>0</v>
      </c>
      <c r="K351" s="91">
        <f t="shared" si="60"/>
        <v>120</v>
      </c>
      <c r="L351" s="27">
        <v>0</v>
      </c>
      <c r="M351" s="27">
        <v>0</v>
      </c>
      <c r="N351" s="28">
        <f t="shared" si="61"/>
        <v>120</v>
      </c>
    </row>
    <row r="352" spans="1:14" ht="38.25" x14ac:dyDescent="0.25">
      <c r="A352" s="29" t="s">
        <v>470</v>
      </c>
      <c r="B352" s="107" t="s">
        <v>79</v>
      </c>
      <c r="C352" s="32"/>
      <c r="D352" s="32">
        <v>0</v>
      </c>
      <c r="E352" s="33"/>
      <c r="F352" s="33"/>
      <c r="G352" s="33"/>
      <c r="H352" s="32"/>
      <c r="I352" s="33"/>
      <c r="J352" s="33"/>
      <c r="K352" s="91">
        <v>0</v>
      </c>
      <c r="L352" s="34">
        <v>183</v>
      </c>
      <c r="M352" s="34">
        <v>0</v>
      </c>
      <c r="N352" s="28">
        <f t="shared" si="61"/>
        <v>183</v>
      </c>
    </row>
    <row r="353" spans="1:15" ht="38.25" x14ac:dyDescent="0.25">
      <c r="A353" s="29" t="s">
        <v>471</v>
      </c>
      <c r="B353" s="107" t="s">
        <v>79</v>
      </c>
      <c r="C353" s="32"/>
      <c r="D353" s="32">
        <v>0</v>
      </c>
      <c r="E353" s="33"/>
      <c r="F353" s="33"/>
      <c r="G353" s="33"/>
      <c r="H353" s="32"/>
      <c r="I353" s="33"/>
      <c r="J353" s="33"/>
      <c r="K353" s="91">
        <v>0</v>
      </c>
      <c r="L353" s="34">
        <v>68</v>
      </c>
      <c r="M353" s="34">
        <v>0</v>
      </c>
      <c r="N353" s="28">
        <f t="shared" si="61"/>
        <v>68</v>
      </c>
    </row>
    <row r="354" spans="1:15" ht="25.5" customHeight="1" thickBot="1" x14ac:dyDescent="0.3">
      <c r="A354" s="133" t="s">
        <v>378</v>
      </c>
      <c r="B354" s="129"/>
      <c r="C354" s="130">
        <v>9440.4599999999991</v>
      </c>
      <c r="D354" s="130">
        <f>9369.56</f>
        <v>9369.56</v>
      </c>
      <c r="E354" s="131">
        <v>500</v>
      </c>
      <c r="F354" s="131">
        <v>1125.3</v>
      </c>
      <c r="G354" s="131">
        <f t="shared" si="59"/>
        <v>10994.859999999999</v>
      </c>
      <c r="H354" s="130">
        <v>0</v>
      </c>
      <c r="I354" s="131">
        <v>0</v>
      </c>
      <c r="J354" s="131">
        <v>0</v>
      </c>
      <c r="K354" s="91">
        <f t="shared" si="60"/>
        <v>10994.859999999999</v>
      </c>
      <c r="L354" s="34">
        <f>7.44-21.24</f>
        <v>-13.799999999999997</v>
      </c>
      <c r="M354" s="34">
        <v>200</v>
      </c>
      <c r="N354" s="28">
        <f t="shared" si="61"/>
        <v>11181.06</v>
      </c>
    </row>
    <row r="355" spans="1:15" ht="15.75" thickBot="1" x14ac:dyDescent="0.3">
      <c r="A355" s="121" t="s">
        <v>379</v>
      </c>
      <c r="B355" s="109"/>
      <c r="C355" s="126">
        <f>C357+C358+C359</f>
        <v>41504.42</v>
      </c>
      <c r="D355" s="126">
        <f>D357+D358+D359</f>
        <v>43839</v>
      </c>
      <c r="E355" s="126">
        <f t="shared" ref="E355:F355" si="62">E357+E358+E359</f>
        <v>0</v>
      </c>
      <c r="F355" s="126">
        <f t="shared" si="62"/>
        <v>1077.5999999999999</v>
      </c>
      <c r="G355" s="134">
        <f>D355+E355+F355</f>
        <v>44916.6</v>
      </c>
      <c r="H355" s="126">
        <f>H357+H358+H359</f>
        <v>0</v>
      </c>
      <c r="I355" s="126">
        <f>I357+I358+I359</f>
        <v>0</v>
      </c>
      <c r="J355" s="126">
        <f>J357+J358+J359</f>
        <v>484</v>
      </c>
      <c r="K355" s="110">
        <f>G355+H355+I355+J355</f>
        <v>45400.6</v>
      </c>
      <c r="L355" s="112">
        <f>L357+L358+L359</f>
        <v>17</v>
      </c>
      <c r="M355" s="112">
        <f t="shared" ref="M355:N355" si="63">M357+M358+M359</f>
        <v>0</v>
      </c>
      <c r="N355" s="111">
        <f t="shared" si="63"/>
        <v>45417.599999999999</v>
      </c>
      <c r="O355" s="39"/>
    </row>
    <row r="356" spans="1:15" x14ac:dyDescent="0.25">
      <c r="A356" s="124" t="s">
        <v>30</v>
      </c>
      <c r="B356" s="93"/>
      <c r="C356" s="55"/>
      <c r="D356" s="55"/>
      <c r="E356" s="56"/>
      <c r="F356" s="56"/>
      <c r="G356" s="56"/>
      <c r="H356" s="55"/>
      <c r="I356" s="56"/>
      <c r="J356" s="56"/>
      <c r="K356" s="26"/>
      <c r="L356" s="57"/>
      <c r="M356" s="57"/>
      <c r="N356" s="58"/>
    </row>
    <row r="357" spans="1:15" x14ac:dyDescent="0.25">
      <c r="A357" s="125" t="s">
        <v>380</v>
      </c>
      <c r="B357" s="88"/>
      <c r="C357" s="24">
        <v>550</v>
      </c>
      <c r="D357" s="24">
        <v>0</v>
      </c>
      <c r="E357" s="25">
        <v>0</v>
      </c>
      <c r="F357" s="25">
        <v>0</v>
      </c>
      <c r="G357" s="25">
        <f>D357+E357+F357</f>
        <v>0</v>
      </c>
      <c r="H357" s="24">
        <v>0</v>
      </c>
      <c r="I357" s="25">
        <v>0</v>
      </c>
      <c r="J357" s="25">
        <v>484</v>
      </c>
      <c r="K357" s="91">
        <f>G357+H357+I357+J357</f>
        <v>484</v>
      </c>
      <c r="L357" s="27">
        <v>0</v>
      </c>
      <c r="M357" s="27">
        <v>0</v>
      </c>
      <c r="N357" s="28">
        <f>K357+L357+M357</f>
        <v>484</v>
      </c>
    </row>
    <row r="358" spans="1:15" x14ac:dyDescent="0.25">
      <c r="A358" s="125" t="s">
        <v>74</v>
      </c>
      <c r="B358" s="88"/>
      <c r="C358" s="24">
        <v>220</v>
      </c>
      <c r="D358" s="24">
        <v>200</v>
      </c>
      <c r="E358" s="25">
        <v>0</v>
      </c>
      <c r="F358" s="25">
        <v>0</v>
      </c>
      <c r="G358" s="25">
        <f t="shared" ref="G358:G359" si="64">D358+E358+F358</f>
        <v>200</v>
      </c>
      <c r="H358" s="24">
        <v>0</v>
      </c>
      <c r="I358" s="25">
        <v>0</v>
      </c>
      <c r="J358" s="25">
        <v>0</v>
      </c>
      <c r="K358" s="91">
        <f t="shared" ref="K358:K359" si="65">G358+H358+I358+J358</f>
        <v>200</v>
      </c>
      <c r="L358" s="27">
        <v>17</v>
      </c>
      <c r="M358" s="27">
        <v>0</v>
      </c>
      <c r="N358" s="28">
        <f t="shared" ref="N358:N359" si="66">K358+L358+M358</f>
        <v>217</v>
      </c>
    </row>
    <row r="359" spans="1:15" ht="15.75" thickBot="1" x14ac:dyDescent="0.3">
      <c r="A359" s="135" t="s">
        <v>381</v>
      </c>
      <c r="B359" s="118"/>
      <c r="C359" s="68">
        <v>40734.42</v>
      </c>
      <c r="D359" s="68">
        <v>43639</v>
      </c>
      <c r="E359" s="69">
        <v>0</v>
      </c>
      <c r="F359" s="69">
        <v>1077.5999999999999</v>
      </c>
      <c r="G359" s="25">
        <f t="shared" si="64"/>
        <v>44716.6</v>
      </c>
      <c r="H359" s="32">
        <v>0</v>
      </c>
      <c r="I359" s="33">
        <v>0</v>
      </c>
      <c r="J359" s="33">
        <v>0</v>
      </c>
      <c r="K359" s="91">
        <f t="shared" si="65"/>
        <v>44716.6</v>
      </c>
      <c r="L359" s="34">
        <v>0</v>
      </c>
      <c r="M359" s="34">
        <v>0</v>
      </c>
      <c r="N359" s="28">
        <f t="shared" si="66"/>
        <v>44716.6</v>
      </c>
    </row>
    <row r="360" spans="1:15" ht="15.75" thickBot="1" x14ac:dyDescent="0.3">
      <c r="A360" s="121" t="s">
        <v>382</v>
      </c>
      <c r="B360" s="109"/>
      <c r="C360" s="126">
        <f>C362+C363</f>
        <v>8655</v>
      </c>
      <c r="D360" s="126">
        <f>D362+D363</f>
        <v>9628</v>
      </c>
      <c r="E360" s="126">
        <f t="shared" ref="E360:J360" si="67">E362+E363</f>
        <v>-163</v>
      </c>
      <c r="F360" s="126">
        <f t="shared" si="67"/>
        <v>531</v>
      </c>
      <c r="G360" s="126">
        <f t="shared" si="67"/>
        <v>9996</v>
      </c>
      <c r="H360" s="126">
        <f t="shared" si="67"/>
        <v>1400</v>
      </c>
      <c r="I360" s="126">
        <f t="shared" si="67"/>
        <v>0</v>
      </c>
      <c r="J360" s="126">
        <f t="shared" si="67"/>
        <v>0</v>
      </c>
      <c r="K360" s="110">
        <f>G360+H360+I360+J360</f>
        <v>11396</v>
      </c>
      <c r="L360" s="112">
        <f>L362+L363</f>
        <v>226</v>
      </c>
      <c r="M360" s="112">
        <f t="shared" ref="M360:N360" si="68">M362+M363</f>
        <v>0</v>
      </c>
      <c r="N360" s="111">
        <f t="shared" si="68"/>
        <v>11622</v>
      </c>
      <c r="O360" s="39"/>
    </row>
    <row r="361" spans="1:15" x14ac:dyDescent="0.25">
      <c r="A361" s="124" t="s">
        <v>30</v>
      </c>
      <c r="B361" s="93"/>
      <c r="C361" s="55"/>
      <c r="D361" s="55"/>
      <c r="E361" s="56"/>
      <c r="F361" s="56"/>
      <c r="G361" s="56"/>
      <c r="H361" s="55"/>
      <c r="I361" s="56"/>
      <c r="J361" s="56"/>
      <c r="K361" s="26"/>
      <c r="L361" s="57"/>
      <c r="M361" s="57"/>
      <c r="N361" s="58"/>
    </row>
    <row r="362" spans="1:15" ht="25.5" x14ac:dyDescent="0.25">
      <c r="A362" s="20" t="s">
        <v>383</v>
      </c>
      <c r="B362" s="88"/>
      <c r="C362" s="24">
        <v>0</v>
      </c>
      <c r="D362" s="24">
        <v>0</v>
      </c>
      <c r="E362" s="25">
        <v>0</v>
      </c>
      <c r="F362" s="25">
        <v>0</v>
      </c>
      <c r="G362" s="25">
        <v>0</v>
      </c>
      <c r="H362" s="24">
        <v>0</v>
      </c>
      <c r="I362" s="25">
        <v>0</v>
      </c>
      <c r="J362" s="25">
        <v>0</v>
      </c>
      <c r="K362" s="91">
        <f>G362+H362+I362+J362</f>
        <v>0</v>
      </c>
      <c r="L362" s="27">
        <v>0</v>
      </c>
      <c r="M362" s="27">
        <v>0</v>
      </c>
      <c r="N362" s="28">
        <f>K362+L362+M362</f>
        <v>0</v>
      </c>
    </row>
    <row r="363" spans="1:15" ht="15.75" thickBot="1" x14ac:dyDescent="0.3">
      <c r="A363" s="120" t="s">
        <v>384</v>
      </c>
      <c r="B363" s="107"/>
      <c r="C363" s="32">
        <v>8655</v>
      </c>
      <c r="D363" s="32">
        <v>9628</v>
      </c>
      <c r="E363" s="33">
        <v>-163</v>
      </c>
      <c r="F363" s="33">
        <v>531</v>
      </c>
      <c r="G363" s="25">
        <f>D363+E363+F363</f>
        <v>9996</v>
      </c>
      <c r="H363" s="32">
        <v>1400</v>
      </c>
      <c r="I363" s="33">
        <v>0</v>
      </c>
      <c r="J363" s="33">
        <v>0</v>
      </c>
      <c r="K363" s="91">
        <f>G363+H363+I363+J363</f>
        <v>11396</v>
      </c>
      <c r="L363" s="34">
        <f>268+28-110+40</f>
        <v>226</v>
      </c>
      <c r="M363" s="34">
        <v>0</v>
      </c>
      <c r="N363" s="28">
        <f>K363+L363+M363</f>
        <v>11622</v>
      </c>
    </row>
    <row r="364" spans="1:15" ht="15.75" thickBot="1" x14ac:dyDescent="0.3">
      <c r="A364" s="121" t="s">
        <v>385</v>
      </c>
      <c r="B364" s="109"/>
      <c r="C364" s="126">
        <f>C366+C367+C368+C369</f>
        <v>4069.58</v>
      </c>
      <c r="D364" s="126">
        <f>D366+D367+D368+D369</f>
        <v>4310</v>
      </c>
      <c r="E364" s="126">
        <f t="shared" ref="E364:F364" si="69">E366+E367+E368+E369</f>
        <v>0</v>
      </c>
      <c r="F364" s="126">
        <f t="shared" si="69"/>
        <v>-42.199999999999989</v>
      </c>
      <c r="G364" s="134">
        <f>G366+G367+G368+G369</f>
        <v>4417.8</v>
      </c>
      <c r="H364" s="126">
        <f>H366+H367+H368+H369</f>
        <v>-30</v>
      </c>
      <c r="I364" s="126">
        <f>I366+I367+I368+I369</f>
        <v>0</v>
      </c>
      <c r="J364" s="126">
        <f>J366+J367+J368+J369</f>
        <v>0</v>
      </c>
      <c r="K364" s="110">
        <f>G364+H364+I364+J364</f>
        <v>4387.8</v>
      </c>
      <c r="L364" s="112">
        <f>L366+L367+L368+L369</f>
        <v>50</v>
      </c>
      <c r="M364" s="112">
        <f t="shared" ref="M364:N364" si="70">M366+M367+M368+M369</f>
        <v>200</v>
      </c>
      <c r="N364" s="111">
        <f t="shared" si="70"/>
        <v>4637.8</v>
      </c>
      <c r="O364" s="39"/>
    </row>
    <row r="365" spans="1:15" x14ac:dyDescent="0.25">
      <c r="A365" s="124" t="s">
        <v>30</v>
      </c>
      <c r="B365" s="93"/>
      <c r="C365" s="55"/>
      <c r="D365" s="55"/>
      <c r="E365" s="56"/>
      <c r="F365" s="56"/>
      <c r="G365" s="56"/>
      <c r="H365" s="55"/>
      <c r="I365" s="56"/>
      <c r="J365" s="56"/>
      <c r="K365" s="26"/>
      <c r="L365" s="57"/>
      <c r="M365" s="57"/>
      <c r="N365" s="58"/>
    </row>
    <row r="366" spans="1:15" ht="25.5" customHeight="1" x14ac:dyDescent="0.25">
      <c r="A366" s="20" t="s">
        <v>386</v>
      </c>
      <c r="B366" s="88"/>
      <c r="C366" s="24">
        <v>200</v>
      </c>
      <c r="D366" s="24">
        <v>0</v>
      </c>
      <c r="E366" s="25">
        <v>0</v>
      </c>
      <c r="F366" s="25">
        <v>0</v>
      </c>
      <c r="G366" s="25">
        <f>D366+E366+F366+150</f>
        <v>150</v>
      </c>
      <c r="H366" s="24">
        <v>0</v>
      </c>
      <c r="I366" s="25">
        <v>0</v>
      </c>
      <c r="J366" s="25">
        <v>0</v>
      </c>
      <c r="K366" s="91">
        <f>G366+H366+I366+J366</f>
        <v>150</v>
      </c>
      <c r="L366" s="27">
        <v>50</v>
      </c>
      <c r="M366" s="27">
        <v>0</v>
      </c>
      <c r="N366" s="28">
        <f>K366+L366+M366</f>
        <v>200</v>
      </c>
    </row>
    <row r="367" spans="1:15" x14ac:dyDescent="0.25">
      <c r="A367" s="125" t="s">
        <v>74</v>
      </c>
      <c r="B367" s="88"/>
      <c r="C367" s="24">
        <v>245</v>
      </c>
      <c r="D367" s="24">
        <v>250</v>
      </c>
      <c r="E367" s="25">
        <v>0</v>
      </c>
      <c r="F367" s="25">
        <v>0</v>
      </c>
      <c r="G367" s="25">
        <f t="shared" ref="G367:G369" si="71">D367+E367+F367</f>
        <v>250</v>
      </c>
      <c r="H367" s="24">
        <v>0</v>
      </c>
      <c r="I367" s="25">
        <v>0</v>
      </c>
      <c r="J367" s="25">
        <v>0</v>
      </c>
      <c r="K367" s="91">
        <f t="shared" ref="K367:K369" si="72">G367+H367+I367+J367</f>
        <v>250</v>
      </c>
      <c r="L367" s="27">
        <v>50</v>
      </c>
      <c r="M367" s="27">
        <v>0</v>
      </c>
      <c r="N367" s="28">
        <f t="shared" ref="N367:N369" si="73">K367+L367+M367</f>
        <v>300</v>
      </c>
    </row>
    <row r="368" spans="1:15" x14ac:dyDescent="0.25">
      <c r="A368" s="125" t="s">
        <v>387</v>
      </c>
      <c r="B368" s="88" t="s">
        <v>388</v>
      </c>
      <c r="C368" s="24">
        <v>393</v>
      </c>
      <c r="D368" s="24">
        <v>600</v>
      </c>
      <c r="E368" s="25">
        <v>0</v>
      </c>
      <c r="F368" s="25">
        <v>-142.19999999999999</v>
      </c>
      <c r="G368" s="25">
        <f t="shared" si="71"/>
        <v>457.8</v>
      </c>
      <c r="H368" s="24">
        <v>-30</v>
      </c>
      <c r="I368" s="25">
        <v>0</v>
      </c>
      <c r="J368" s="25">
        <v>0</v>
      </c>
      <c r="K368" s="91">
        <f t="shared" si="72"/>
        <v>427.8</v>
      </c>
      <c r="L368" s="27">
        <v>0</v>
      </c>
      <c r="M368" s="27">
        <v>0</v>
      </c>
      <c r="N368" s="28">
        <f t="shared" si="73"/>
        <v>427.8</v>
      </c>
    </row>
    <row r="369" spans="1:15" ht="25.5" customHeight="1" thickBot="1" x14ac:dyDescent="0.3">
      <c r="A369" s="29" t="s">
        <v>389</v>
      </c>
      <c r="B369" s="107"/>
      <c r="C369" s="32">
        <v>3231.58</v>
      </c>
      <c r="D369" s="32">
        <v>3460</v>
      </c>
      <c r="E369" s="33">
        <v>0</v>
      </c>
      <c r="F369" s="33">
        <v>100</v>
      </c>
      <c r="G369" s="25">
        <f t="shared" si="71"/>
        <v>3560</v>
      </c>
      <c r="H369" s="32">
        <v>0</v>
      </c>
      <c r="I369" s="33">
        <v>0</v>
      </c>
      <c r="J369" s="33">
        <v>0</v>
      </c>
      <c r="K369" s="91">
        <f t="shared" si="72"/>
        <v>3560</v>
      </c>
      <c r="L369" s="34">
        <v>-50</v>
      </c>
      <c r="M369" s="34">
        <v>200</v>
      </c>
      <c r="N369" s="28">
        <f t="shared" si="73"/>
        <v>3710</v>
      </c>
      <c r="O369" s="39"/>
    </row>
    <row r="370" spans="1:15" ht="15.75" thickBot="1" x14ac:dyDescent="0.3">
      <c r="A370" s="136" t="s">
        <v>390</v>
      </c>
      <c r="B370" s="137"/>
      <c r="C370" s="138" t="e">
        <f>C21+C52+C58+C65+C71+C76+C258+C267+C275+C279+C330+C335+C355+C360+C364</f>
        <v>#REF!</v>
      </c>
      <c r="D370" s="138">
        <f>D21+D52+D58+D65+D71+D76+D258+D267+D275+D279+D330+D335+D355+D360+D364</f>
        <v>984872.85000000009</v>
      </c>
      <c r="E370" s="138">
        <f>E21+E52+E58+E65+E71+E76+E258+E267+E275+E279+E330+E335+E355+E360+E364</f>
        <v>12164.769999999999</v>
      </c>
      <c r="F370" s="138">
        <f>F21+F52+F58+F65+F71+F76+F258+F267+F275+F279+F330+F335+F355+F360+F364</f>
        <v>64447.74</v>
      </c>
      <c r="G370" s="138">
        <f>G21+G52+G58+G65+G71+G76+G258+G267+G275+G279+G330+G335+G355+G360+G364</f>
        <v>1101429.93</v>
      </c>
      <c r="H370" s="138">
        <f>H21+H52+H58+H65+H71+H76+H258+H267+H275+H279+H330+H335+H355+H360+H364</f>
        <v>10445.5</v>
      </c>
      <c r="I370" s="138">
        <f>I21+I52+I58+I65+I71+I76+I258+I267+I275+I279+I330+I335+I355+I360+I364</f>
        <v>-500</v>
      </c>
      <c r="J370" s="138">
        <f>J21+J52+J58+J65+J71+J76+J258+J267+J275+J279+J330+J335+J355+J360+J364</f>
        <v>1402.2</v>
      </c>
      <c r="K370" s="139">
        <f>K21+K52+K58+K65+K71+K76+K258+K267+K275+K279+K330+K335+K355+K360+K364</f>
        <v>1112777.6300000004</v>
      </c>
      <c r="L370" s="139">
        <f>L21+L52+L58+L65+L71+L76+L258+L267+L275+L279+L330+L335+L355+L360+L364</f>
        <v>16659.080000000002</v>
      </c>
      <c r="M370" s="139">
        <f>M21+M52+M58+M65+M71+M76+M258+M267+M275+M279+M330+M335+M355+M360+M364</f>
        <v>25696.31</v>
      </c>
      <c r="N370" s="140">
        <f>N21+N52+N58+N65+N71+N76+N258+N267+N275+N279+N330+N335+N355+N360+N364</f>
        <v>1155025.02</v>
      </c>
    </row>
    <row r="371" spans="1:15" ht="15.75" thickBot="1" x14ac:dyDescent="0.3">
      <c r="A371" s="141"/>
      <c r="B371" s="142"/>
      <c r="C371" s="143"/>
      <c r="D371" s="143"/>
      <c r="E371" s="144"/>
      <c r="F371" s="144"/>
      <c r="G371" s="144"/>
      <c r="H371" s="143"/>
      <c r="I371" s="144"/>
      <c r="J371" s="144"/>
      <c r="K371" s="144"/>
      <c r="L371" s="43"/>
      <c r="M371" s="43"/>
      <c r="N371" s="45"/>
    </row>
    <row r="372" spans="1:15" ht="15.75" thickBot="1" x14ac:dyDescent="0.3">
      <c r="A372" s="136" t="s">
        <v>391</v>
      </c>
      <c r="B372" s="145"/>
      <c r="C372" s="146"/>
      <c r="D372" s="146"/>
      <c r="E372" s="147"/>
      <c r="F372" s="147"/>
      <c r="G372" s="147"/>
      <c r="H372" s="75"/>
      <c r="I372" s="76"/>
      <c r="J372" s="76"/>
      <c r="K372" s="77"/>
      <c r="L372" s="78"/>
      <c r="M372" s="78"/>
      <c r="N372" s="79"/>
    </row>
    <row r="373" spans="1:15" ht="15.75" thickBot="1" x14ac:dyDescent="0.3">
      <c r="A373" s="121" t="s">
        <v>29</v>
      </c>
      <c r="B373" s="109"/>
      <c r="C373" s="126">
        <f>C375</f>
        <v>0</v>
      </c>
      <c r="D373" s="126">
        <f>D375</f>
        <v>0</v>
      </c>
      <c r="E373" s="126">
        <f t="shared" ref="E373:F373" si="74">E375</f>
        <v>0</v>
      </c>
      <c r="F373" s="126">
        <f t="shared" si="74"/>
        <v>0</v>
      </c>
      <c r="G373" s="134">
        <f>D373+E373+F373</f>
        <v>0</v>
      </c>
      <c r="H373" s="126">
        <f>H375</f>
        <v>0</v>
      </c>
      <c r="I373" s="126">
        <f>I375</f>
        <v>0</v>
      </c>
      <c r="J373" s="126">
        <f>J375</f>
        <v>0</v>
      </c>
      <c r="K373" s="110">
        <f>G373+H373+I373+J373</f>
        <v>0</v>
      </c>
      <c r="L373" s="112">
        <f>L375</f>
        <v>0</v>
      </c>
      <c r="M373" s="112">
        <f t="shared" ref="M373:N373" si="75">M375</f>
        <v>0</v>
      </c>
      <c r="N373" s="111">
        <f t="shared" si="75"/>
        <v>0</v>
      </c>
    </row>
    <row r="374" spans="1:15" x14ac:dyDescent="0.25">
      <c r="A374" s="124" t="s">
        <v>30</v>
      </c>
      <c r="B374" s="93"/>
      <c r="C374" s="55"/>
      <c r="D374" s="55"/>
      <c r="E374" s="56"/>
      <c r="F374" s="56"/>
      <c r="G374" s="56"/>
      <c r="H374" s="55"/>
      <c r="I374" s="56"/>
      <c r="J374" s="56"/>
      <c r="K374" s="26"/>
      <c r="L374" s="57"/>
      <c r="M374" s="57"/>
      <c r="N374" s="58"/>
    </row>
    <row r="375" spans="1:15" ht="15.75" thickBot="1" x14ac:dyDescent="0.3">
      <c r="A375" s="120" t="s">
        <v>392</v>
      </c>
      <c r="B375" s="107"/>
      <c r="C375" s="32">
        <v>0</v>
      </c>
      <c r="D375" s="32">
        <v>0</v>
      </c>
      <c r="E375" s="33">
        <v>0</v>
      </c>
      <c r="F375" s="33">
        <v>0</v>
      </c>
      <c r="G375" s="33">
        <f>D375+E375+F375</f>
        <v>0</v>
      </c>
      <c r="H375" s="32">
        <v>0</v>
      </c>
      <c r="I375" s="33">
        <v>0</v>
      </c>
      <c r="J375" s="33">
        <v>0</v>
      </c>
      <c r="K375" s="148">
        <f>G375+H375+I375+J375</f>
        <v>0</v>
      </c>
      <c r="L375" s="34">
        <v>0</v>
      </c>
      <c r="M375" s="34">
        <v>0</v>
      </c>
      <c r="N375" s="149">
        <f>K375+L375+M375</f>
        <v>0</v>
      </c>
    </row>
    <row r="376" spans="1:15" ht="15.75" thickBot="1" x14ac:dyDescent="0.3">
      <c r="A376" s="121" t="s">
        <v>393</v>
      </c>
      <c r="B376" s="109"/>
      <c r="C376" s="126">
        <f>C378+C379+C380+C381</f>
        <v>564</v>
      </c>
      <c r="D376" s="126">
        <f>D378+D379+D380+D381</f>
        <v>2300</v>
      </c>
      <c r="E376" s="126">
        <f t="shared" ref="E376:N376" si="76">E378+E379+E380+E381</f>
        <v>50</v>
      </c>
      <c r="F376" s="126">
        <f t="shared" si="76"/>
        <v>0</v>
      </c>
      <c r="G376" s="126">
        <f t="shared" si="76"/>
        <v>2350</v>
      </c>
      <c r="H376" s="126">
        <f t="shared" si="76"/>
        <v>0</v>
      </c>
      <c r="I376" s="126">
        <f t="shared" si="76"/>
        <v>0</v>
      </c>
      <c r="J376" s="126">
        <f t="shared" si="76"/>
        <v>0</v>
      </c>
      <c r="K376" s="126">
        <f t="shared" si="76"/>
        <v>2350</v>
      </c>
      <c r="L376" s="126">
        <f t="shared" si="76"/>
        <v>35</v>
      </c>
      <c r="M376" s="126">
        <f t="shared" si="76"/>
        <v>0</v>
      </c>
      <c r="N376" s="132">
        <f t="shared" si="76"/>
        <v>2385</v>
      </c>
    </row>
    <row r="377" spans="1:15" x14ac:dyDescent="0.25">
      <c r="A377" s="124" t="s">
        <v>30</v>
      </c>
      <c r="B377" s="93"/>
      <c r="C377" s="55"/>
      <c r="D377" s="55"/>
      <c r="E377" s="56"/>
      <c r="F377" s="56"/>
      <c r="G377" s="56"/>
      <c r="H377" s="55"/>
      <c r="I377" s="56"/>
      <c r="J377" s="56"/>
      <c r="K377" s="26"/>
      <c r="L377" s="57"/>
      <c r="M377" s="57"/>
      <c r="N377" s="58"/>
    </row>
    <row r="378" spans="1:15" x14ac:dyDescent="0.25">
      <c r="A378" s="125" t="s">
        <v>394</v>
      </c>
      <c r="B378" s="88"/>
      <c r="C378" s="24">
        <v>0</v>
      </c>
      <c r="D378" s="24">
        <v>0</v>
      </c>
      <c r="E378" s="25">
        <v>0</v>
      </c>
      <c r="F378" s="25">
        <v>0</v>
      </c>
      <c r="G378" s="25">
        <f>D378+E378+F378</f>
        <v>0</v>
      </c>
      <c r="H378" s="24">
        <v>0</v>
      </c>
      <c r="I378" s="25">
        <v>0</v>
      </c>
      <c r="J378" s="25">
        <v>0</v>
      </c>
      <c r="K378" s="91">
        <f>G378+H378+I378+J378</f>
        <v>0</v>
      </c>
      <c r="L378" s="27">
        <v>0</v>
      </c>
      <c r="M378" s="27">
        <v>0</v>
      </c>
      <c r="N378" s="28">
        <f>K378+L378+M378</f>
        <v>0</v>
      </c>
    </row>
    <row r="379" spans="1:15" x14ac:dyDescent="0.25">
      <c r="A379" s="125" t="s">
        <v>395</v>
      </c>
      <c r="B379" s="88"/>
      <c r="C379" s="24">
        <v>209</v>
      </c>
      <c r="D379" s="24">
        <v>2000</v>
      </c>
      <c r="E379" s="25">
        <v>50</v>
      </c>
      <c r="F379" s="25">
        <v>0</v>
      </c>
      <c r="G379" s="25">
        <f t="shared" ref="G379:G381" si="77">D379+E379+F379</f>
        <v>2050</v>
      </c>
      <c r="H379" s="24">
        <v>0</v>
      </c>
      <c r="I379" s="25">
        <v>0</v>
      </c>
      <c r="J379" s="25">
        <v>0</v>
      </c>
      <c r="K379" s="91">
        <f t="shared" ref="K379:K381" si="78">G379+H379+I379+J379</f>
        <v>2050</v>
      </c>
      <c r="L379" s="27">
        <v>0</v>
      </c>
      <c r="M379" s="27">
        <v>0</v>
      </c>
      <c r="N379" s="28">
        <f t="shared" ref="N379:N381" si="79">K379+L379+M379</f>
        <v>2050</v>
      </c>
    </row>
    <row r="380" spans="1:15" x14ac:dyDescent="0.25">
      <c r="A380" s="125" t="s">
        <v>396</v>
      </c>
      <c r="B380" s="88"/>
      <c r="C380" s="24">
        <v>355</v>
      </c>
      <c r="D380" s="24">
        <v>300</v>
      </c>
      <c r="E380" s="25">
        <v>0</v>
      </c>
      <c r="F380" s="25">
        <v>0</v>
      </c>
      <c r="G380" s="25">
        <f t="shared" si="77"/>
        <v>300</v>
      </c>
      <c r="H380" s="24">
        <v>0</v>
      </c>
      <c r="I380" s="25">
        <v>0</v>
      </c>
      <c r="J380" s="25">
        <v>0</v>
      </c>
      <c r="K380" s="91">
        <f>335-35</f>
        <v>300</v>
      </c>
      <c r="L380" s="27">
        <v>35</v>
      </c>
      <c r="M380" s="27">
        <v>0</v>
      </c>
      <c r="N380" s="28">
        <f t="shared" si="79"/>
        <v>335</v>
      </c>
    </row>
    <row r="381" spans="1:15" ht="15.75" thickBot="1" x14ac:dyDescent="0.3">
      <c r="A381" s="120" t="s">
        <v>397</v>
      </c>
      <c r="B381" s="107"/>
      <c r="C381" s="32">
        <v>0</v>
      </c>
      <c r="D381" s="32">
        <v>0</v>
      </c>
      <c r="E381" s="33">
        <v>0</v>
      </c>
      <c r="F381" s="33">
        <v>0</v>
      </c>
      <c r="G381" s="25">
        <f t="shared" si="77"/>
        <v>0</v>
      </c>
      <c r="H381" s="32">
        <v>0</v>
      </c>
      <c r="I381" s="33">
        <v>0</v>
      </c>
      <c r="J381" s="33">
        <v>0</v>
      </c>
      <c r="K381" s="91">
        <f t="shared" si="78"/>
        <v>0</v>
      </c>
      <c r="L381" s="34">
        <v>0</v>
      </c>
      <c r="M381" s="34">
        <v>0</v>
      </c>
      <c r="N381" s="28">
        <f t="shared" si="79"/>
        <v>0</v>
      </c>
    </row>
    <row r="382" spans="1:15" ht="15.75" thickBot="1" x14ac:dyDescent="0.3">
      <c r="A382" s="121" t="s">
        <v>77</v>
      </c>
      <c r="B382" s="109"/>
      <c r="C382" s="126">
        <f>C384+C385+C386+C387+C388+C389+C390</f>
        <v>45821.72</v>
      </c>
      <c r="D382" s="126">
        <f>D384+D385+D386+D387+D388+D389+D390</f>
        <v>34303.1</v>
      </c>
      <c r="E382" s="126">
        <f t="shared" ref="E382:J382" si="80">E384+E385+E386+E387+E388+E389+E390</f>
        <v>-374</v>
      </c>
      <c r="F382" s="126">
        <f t="shared" si="80"/>
        <v>-2570.1700000000005</v>
      </c>
      <c r="G382" s="126">
        <f t="shared" si="80"/>
        <v>28065.93</v>
      </c>
      <c r="H382" s="126">
        <f t="shared" si="80"/>
        <v>-600</v>
      </c>
      <c r="I382" s="126">
        <f t="shared" si="80"/>
        <v>0</v>
      </c>
      <c r="J382" s="126">
        <f t="shared" si="80"/>
        <v>0</v>
      </c>
      <c r="K382" s="110">
        <f>G382+H382+I382+J382</f>
        <v>27465.93</v>
      </c>
      <c r="L382" s="112">
        <f>L384+L385+L386+L387+L388+L389+L390</f>
        <v>-1769.4100000000003</v>
      </c>
      <c r="M382" s="112">
        <f t="shared" ref="M382:N382" si="81">M384+M385+M386+M387+M388+M389+M390</f>
        <v>0</v>
      </c>
      <c r="N382" s="111">
        <f t="shared" si="81"/>
        <v>25696.52</v>
      </c>
      <c r="O382" s="39"/>
    </row>
    <row r="383" spans="1:15" x14ac:dyDescent="0.25">
      <c r="A383" s="124" t="s">
        <v>30</v>
      </c>
      <c r="B383" s="93"/>
      <c r="C383" s="55"/>
      <c r="D383" s="55"/>
      <c r="E383" s="56"/>
      <c r="F383" s="56"/>
      <c r="G383" s="56"/>
      <c r="H383" s="55"/>
      <c r="I383" s="56"/>
      <c r="J383" s="56"/>
      <c r="K383" s="26"/>
      <c r="L383" s="57"/>
      <c r="M383" s="57"/>
      <c r="N383" s="58"/>
    </row>
    <row r="384" spans="1:15" x14ac:dyDescent="0.25">
      <c r="A384" s="125" t="s">
        <v>398</v>
      </c>
      <c r="B384" s="88"/>
      <c r="C384" s="24">
        <v>25641.62</v>
      </c>
      <c r="D384" s="24">
        <v>0</v>
      </c>
      <c r="E384" s="25">
        <v>0</v>
      </c>
      <c r="F384" s="25">
        <v>0</v>
      </c>
      <c r="G384" s="25">
        <f>D384+E384+F384</f>
        <v>0</v>
      </c>
      <c r="H384" s="24">
        <v>0</v>
      </c>
      <c r="I384" s="25">
        <v>0</v>
      </c>
      <c r="J384" s="25">
        <v>0</v>
      </c>
      <c r="K384" s="91">
        <f>G384+H384+I384+J384</f>
        <v>0</v>
      </c>
      <c r="L384" s="27">
        <v>0</v>
      </c>
      <c r="M384" s="27">
        <v>0</v>
      </c>
      <c r="N384" s="28">
        <f>K384+L384+M384</f>
        <v>0</v>
      </c>
    </row>
    <row r="385" spans="1:15" x14ac:dyDescent="0.25">
      <c r="A385" s="125" t="s">
        <v>399</v>
      </c>
      <c r="B385" s="88"/>
      <c r="C385" s="24">
        <v>4722</v>
      </c>
      <c r="D385" s="24">
        <v>7857</v>
      </c>
      <c r="E385" s="25">
        <f>-114-200-60</f>
        <v>-374</v>
      </c>
      <c r="F385" s="25">
        <f>-865.9</f>
        <v>-865.9</v>
      </c>
      <c r="G385" s="25">
        <f>D385+E385+F385-150</f>
        <v>6467.1</v>
      </c>
      <c r="H385" s="24">
        <v>-600</v>
      </c>
      <c r="I385" s="25">
        <v>0</v>
      </c>
      <c r="J385" s="25">
        <v>0</v>
      </c>
      <c r="K385" s="91">
        <f t="shared" ref="K385:K390" si="82">G385+H385+I385+J385</f>
        <v>5867.1</v>
      </c>
      <c r="L385" s="27">
        <f>-150+29</f>
        <v>-121</v>
      </c>
      <c r="M385" s="27">
        <v>0</v>
      </c>
      <c r="N385" s="28">
        <f t="shared" ref="N385:N390" si="83">K385+L385+M385</f>
        <v>5746.1</v>
      </c>
    </row>
    <row r="386" spans="1:15" x14ac:dyDescent="0.25">
      <c r="A386" s="125" t="s">
        <v>400</v>
      </c>
      <c r="B386" s="88"/>
      <c r="C386" s="24">
        <v>0</v>
      </c>
      <c r="D386" s="24">
        <v>2830</v>
      </c>
      <c r="E386" s="25">
        <v>0</v>
      </c>
      <c r="F386" s="25">
        <v>3053.83</v>
      </c>
      <c r="G386" s="25">
        <f>D386+E386+F386-1587-500</f>
        <v>3796.83</v>
      </c>
      <c r="H386" s="24">
        <v>0</v>
      </c>
      <c r="I386" s="25">
        <v>0</v>
      </c>
      <c r="J386" s="25">
        <v>0</v>
      </c>
      <c r="K386" s="91">
        <f t="shared" si="82"/>
        <v>3796.83</v>
      </c>
      <c r="L386" s="27">
        <v>1170.3499999999999</v>
      </c>
      <c r="M386" s="27">
        <v>0</v>
      </c>
      <c r="N386" s="28">
        <f t="shared" si="83"/>
        <v>4967.18</v>
      </c>
    </row>
    <row r="387" spans="1:15" x14ac:dyDescent="0.25">
      <c r="A387" s="124" t="s">
        <v>401</v>
      </c>
      <c r="B387" s="93"/>
      <c r="C387" s="55">
        <v>2158.1</v>
      </c>
      <c r="D387" s="55">
        <v>4758.1000000000004</v>
      </c>
      <c r="E387" s="56">
        <v>0</v>
      </c>
      <c r="F387" s="56">
        <f>-4758.1</f>
        <v>-4758.1000000000004</v>
      </c>
      <c r="G387" s="56">
        <f t="shared" ref="G387:G390" si="84">D387+E387+F387</f>
        <v>0</v>
      </c>
      <c r="H387" s="55">
        <v>0</v>
      </c>
      <c r="I387" s="56">
        <v>0</v>
      </c>
      <c r="J387" s="56">
        <v>0</v>
      </c>
      <c r="K387" s="91">
        <f t="shared" si="82"/>
        <v>0</v>
      </c>
      <c r="L387" s="27">
        <v>0</v>
      </c>
      <c r="M387" s="27">
        <v>0</v>
      </c>
      <c r="N387" s="28">
        <f t="shared" si="83"/>
        <v>0</v>
      </c>
    </row>
    <row r="388" spans="1:15" x14ac:dyDescent="0.25">
      <c r="A388" s="125" t="s">
        <v>402</v>
      </c>
      <c r="B388" s="88"/>
      <c r="C388" s="24">
        <v>9788</v>
      </c>
      <c r="D388" s="24">
        <v>13146</v>
      </c>
      <c r="E388" s="25">
        <v>0</v>
      </c>
      <c r="F388" s="25">
        <v>0</v>
      </c>
      <c r="G388" s="25">
        <f>D388+E388+F388-506</f>
        <v>12640</v>
      </c>
      <c r="H388" s="24">
        <v>0</v>
      </c>
      <c r="I388" s="25">
        <v>0</v>
      </c>
      <c r="J388" s="25">
        <v>0</v>
      </c>
      <c r="K388" s="91">
        <f t="shared" si="82"/>
        <v>12640</v>
      </c>
      <c r="L388" s="27">
        <f>-2741-77.76</f>
        <v>-2818.76</v>
      </c>
      <c r="M388" s="27">
        <v>0</v>
      </c>
      <c r="N388" s="28">
        <f t="shared" si="83"/>
        <v>9821.24</v>
      </c>
    </row>
    <row r="389" spans="1:15" x14ac:dyDescent="0.25">
      <c r="A389" s="125" t="s">
        <v>403</v>
      </c>
      <c r="B389" s="88"/>
      <c r="C389" s="24">
        <v>3512</v>
      </c>
      <c r="D389" s="24">
        <v>5712</v>
      </c>
      <c r="E389" s="25">
        <v>0</v>
      </c>
      <c r="F389" s="25">
        <v>0</v>
      </c>
      <c r="G389" s="25">
        <f>D389+E389+F389-550</f>
        <v>5162</v>
      </c>
      <c r="H389" s="24">
        <v>0</v>
      </c>
      <c r="I389" s="25">
        <v>0</v>
      </c>
      <c r="J389" s="25">
        <v>0</v>
      </c>
      <c r="K389" s="91">
        <f t="shared" si="82"/>
        <v>5162</v>
      </c>
      <c r="L389" s="27">
        <v>0</v>
      </c>
      <c r="M389" s="27">
        <v>0</v>
      </c>
      <c r="N389" s="28">
        <f t="shared" si="83"/>
        <v>5162</v>
      </c>
    </row>
    <row r="390" spans="1:15" ht="15.75" thickBot="1" x14ac:dyDescent="0.3">
      <c r="A390" s="135" t="s">
        <v>404</v>
      </c>
      <c r="B390" s="118"/>
      <c r="C390" s="68">
        <v>0</v>
      </c>
      <c r="D390" s="68">
        <v>0</v>
      </c>
      <c r="E390" s="69">
        <v>0</v>
      </c>
      <c r="F390" s="69">
        <v>0</v>
      </c>
      <c r="G390" s="56">
        <f t="shared" si="84"/>
        <v>0</v>
      </c>
      <c r="H390" s="68">
        <v>0</v>
      </c>
      <c r="I390" s="69">
        <v>0</v>
      </c>
      <c r="J390" s="69">
        <v>0</v>
      </c>
      <c r="K390" s="91">
        <f t="shared" si="82"/>
        <v>0</v>
      </c>
      <c r="L390" s="34">
        <v>0</v>
      </c>
      <c r="M390" s="34">
        <v>0</v>
      </c>
      <c r="N390" s="28">
        <f t="shared" si="83"/>
        <v>0</v>
      </c>
    </row>
    <row r="391" spans="1:15" ht="15.75" thickBot="1" x14ac:dyDescent="0.3">
      <c r="A391" s="121" t="s">
        <v>84</v>
      </c>
      <c r="B391" s="109"/>
      <c r="C391" s="126">
        <f>C393+C394+C395+C397</f>
        <v>53588.28</v>
      </c>
      <c r="D391" s="126">
        <f>D393+D394+D395+D396+D397</f>
        <v>11885.68</v>
      </c>
      <c r="E391" s="126">
        <f t="shared" ref="E391:K391" si="85">E393+E394+E395+E396+E397</f>
        <v>466.8</v>
      </c>
      <c r="F391" s="126">
        <f t="shared" si="85"/>
        <v>6786</v>
      </c>
      <c r="G391" s="126">
        <f t="shared" si="85"/>
        <v>19388.48</v>
      </c>
      <c r="H391" s="126">
        <f t="shared" si="85"/>
        <v>859</v>
      </c>
      <c r="I391" s="126">
        <f t="shared" si="85"/>
        <v>500</v>
      </c>
      <c r="J391" s="126">
        <f t="shared" si="85"/>
        <v>40844</v>
      </c>
      <c r="K391" s="134">
        <f t="shared" si="85"/>
        <v>61591.479999999996</v>
      </c>
      <c r="L391" s="112">
        <f>L393+L394+L395+L396+L397</f>
        <v>1234.0600000000002</v>
      </c>
      <c r="M391" s="112">
        <f t="shared" ref="M391:N391" si="86">M393+M394+M395+M396+M397</f>
        <v>-117</v>
      </c>
      <c r="N391" s="111">
        <f t="shared" si="86"/>
        <v>62708.539999999994</v>
      </c>
      <c r="O391" s="39"/>
    </row>
    <row r="392" spans="1:15" x14ac:dyDescent="0.25">
      <c r="A392" s="124" t="s">
        <v>30</v>
      </c>
      <c r="B392" s="93"/>
      <c r="C392" s="55"/>
      <c r="D392" s="55"/>
      <c r="E392" s="56"/>
      <c r="F392" s="56"/>
      <c r="G392" s="56"/>
      <c r="H392" s="55"/>
      <c r="I392" s="56"/>
      <c r="J392" s="56"/>
      <c r="K392" s="26"/>
      <c r="L392" s="57"/>
      <c r="M392" s="57"/>
      <c r="N392" s="58"/>
    </row>
    <row r="393" spans="1:15" ht="17.25" customHeight="1" x14ac:dyDescent="0.25">
      <c r="A393" s="125" t="s">
        <v>405</v>
      </c>
      <c r="B393" s="88"/>
      <c r="C393" s="24">
        <v>0</v>
      </c>
      <c r="D393" s="24">
        <v>400</v>
      </c>
      <c r="E393" s="25">
        <v>0</v>
      </c>
      <c r="F393" s="25">
        <v>0</v>
      </c>
      <c r="G393" s="25">
        <f>D393+E393+F393</f>
        <v>400</v>
      </c>
      <c r="H393" s="24">
        <v>-400</v>
      </c>
      <c r="I393" s="25">
        <v>0</v>
      </c>
      <c r="J393" s="25">
        <v>0</v>
      </c>
      <c r="K393" s="91">
        <f>G393+H393+I393+J393</f>
        <v>0</v>
      </c>
      <c r="L393" s="27">
        <v>0</v>
      </c>
      <c r="M393" s="27">
        <v>0</v>
      </c>
      <c r="N393" s="28">
        <f>K393+L393+M393</f>
        <v>0</v>
      </c>
    </row>
    <row r="394" spans="1:15" ht="27" customHeight="1" x14ac:dyDescent="0.25">
      <c r="A394" s="20" t="s">
        <v>406</v>
      </c>
      <c r="B394" s="88"/>
      <c r="C394" s="24">
        <v>1820</v>
      </c>
      <c r="D394" s="24">
        <v>1820</v>
      </c>
      <c r="E394" s="25">
        <v>0</v>
      </c>
      <c r="F394" s="25">
        <v>0</v>
      </c>
      <c r="G394" s="25">
        <f t="shared" ref="G394:G397" si="87">D394+E394+F394</f>
        <v>1820</v>
      </c>
      <c r="H394" s="24">
        <v>0</v>
      </c>
      <c r="I394" s="25">
        <v>0</v>
      </c>
      <c r="J394" s="25">
        <v>0</v>
      </c>
      <c r="K394" s="91">
        <f t="shared" ref="K394:K397" si="88">G394+H394+I394+J394</f>
        <v>1820</v>
      </c>
      <c r="L394" s="27">
        <v>0</v>
      </c>
      <c r="M394" s="27">
        <v>0</v>
      </c>
      <c r="N394" s="28">
        <f t="shared" ref="N394:N397" si="89">K394+L394+M394</f>
        <v>1820</v>
      </c>
    </row>
    <row r="395" spans="1:15" x14ac:dyDescent="0.25">
      <c r="A395" s="125" t="s">
        <v>395</v>
      </c>
      <c r="B395" s="88"/>
      <c r="C395" s="24">
        <v>39326.480000000003</v>
      </c>
      <c r="D395" s="24">
        <v>562.98</v>
      </c>
      <c r="E395" s="25">
        <f>421.8+45</f>
        <v>466.8</v>
      </c>
      <c r="F395" s="25">
        <f>26+400</f>
        <v>426</v>
      </c>
      <c r="G395" s="25">
        <f>D395+E395+F395+250</f>
        <v>1705.78</v>
      </c>
      <c r="H395" s="24">
        <v>0</v>
      </c>
      <c r="I395" s="25">
        <v>0</v>
      </c>
      <c r="J395" s="25">
        <v>-206</v>
      </c>
      <c r="K395" s="91">
        <f t="shared" si="88"/>
        <v>1499.78</v>
      </c>
      <c r="L395" s="27">
        <f>553.49-26+768.41-40.84</f>
        <v>1255.0600000000002</v>
      </c>
      <c r="M395" s="27">
        <v>0</v>
      </c>
      <c r="N395" s="28">
        <f t="shared" si="89"/>
        <v>2754.84</v>
      </c>
    </row>
    <row r="396" spans="1:15" ht="38.25" x14ac:dyDescent="0.25">
      <c r="A396" s="29" t="s">
        <v>407</v>
      </c>
      <c r="B396" s="107"/>
      <c r="C396" s="32"/>
      <c r="D396" s="32">
        <v>0</v>
      </c>
      <c r="E396" s="33"/>
      <c r="F396" s="33"/>
      <c r="G396" s="25">
        <v>0</v>
      </c>
      <c r="H396" s="32">
        <v>0</v>
      </c>
      <c r="I396" s="33">
        <v>500</v>
      </c>
      <c r="J396" s="33">
        <v>41050</v>
      </c>
      <c r="K396" s="91">
        <f t="shared" si="88"/>
        <v>41550</v>
      </c>
      <c r="L396" s="27">
        <v>0</v>
      </c>
      <c r="M396" s="27">
        <v>-500</v>
      </c>
      <c r="N396" s="28">
        <f t="shared" si="89"/>
        <v>41050</v>
      </c>
    </row>
    <row r="397" spans="1:15" ht="15.75" thickBot="1" x14ac:dyDescent="0.3">
      <c r="A397" s="120" t="s">
        <v>408</v>
      </c>
      <c r="B397" s="107"/>
      <c r="C397" s="32">
        <v>12441.8</v>
      </c>
      <c r="D397" s="32">
        <v>9102.7000000000007</v>
      </c>
      <c r="E397" s="33">
        <v>0</v>
      </c>
      <c r="F397" s="33">
        <f>210+5400+750</f>
        <v>6360</v>
      </c>
      <c r="G397" s="25">
        <f t="shared" si="87"/>
        <v>15462.7</v>
      </c>
      <c r="H397" s="32">
        <v>1259</v>
      </c>
      <c r="I397" s="33">
        <v>0</v>
      </c>
      <c r="J397" s="33">
        <v>0</v>
      </c>
      <c r="K397" s="91">
        <f t="shared" si="88"/>
        <v>16721.7</v>
      </c>
      <c r="L397" s="34">
        <f>79-100</f>
        <v>-21</v>
      </c>
      <c r="M397" s="34">
        <f>265+118</f>
        <v>383</v>
      </c>
      <c r="N397" s="28">
        <f t="shared" si="89"/>
        <v>17083.7</v>
      </c>
    </row>
    <row r="398" spans="1:15" ht="15.75" thickBot="1" x14ac:dyDescent="0.3">
      <c r="A398" s="121" t="s">
        <v>88</v>
      </c>
      <c r="B398" s="109"/>
      <c r="C398" s="126">
        <f>C400+C401</f>
        <v>184</v>
      </c>
      <c r="D398" s="126">
        <f>D400+D401</f>
        <v>0</v>
      </c>
      <c r="E398" s="126">
        <f t="shared" ref="E398:F398" si="90">E400+E401</f>
        <v>0</v>
      </c>
      <c r="F398" s="126">
        <f t="shared" si="90"/>
        <v>0</v>
      </c>
      <c r="G398" s="134">
        <f>D398+E398+F398</f>
        <v>0</v>
      </c>
      <c r="H398" s="126">
        <f>H400+H401</f>
        <v>0</v>
      </c>
      <c r="I398" s="126">
        <f>I400+I401</f>
        <v>0</v>
      </c>
      <c r="J398" s="126">
        <f>J400+J401</f>
        <v>0</v>
      </c>
      <c r="K398" s="110">
        <f>G398+H398+I398+J398</f>
        <v>0</v>
      </c>
      <c r="L398" s="112">
        <f>L400+L401</f>
        <v>0</v>
      </c>
      <c r="M398" s="112">
        <f t="shared" ref="M398:N398" si="91">M400+M401</f>
        <v>0</v>
      </c>
      <c r="N398" s="111">
        <f t="shared" si="91"/>
        <v>0</v>
      </c>
    </row>
    <row r="399" spans="1:15" x14ac:dyDescent="0.25">
      <c r="A399" s="124" t="s">
        <v>30</v>
      </c>
      <c r="B399" s="93"/>
      <c r="C399" s="55"/>
      <c r="D399" s="55"/>
      <c r="E399" s="56"/>
      <c r="F399" s="56"/>
      <c r="G399" s="56"/>
      <c r="H399" s="55"/>
      <c r="I399" s="56"/>
      <c r="J399" s="56"/>
      <c r="K399" s="26"/>
      <c r="L399" s="57"/>
      <c r="M399" s="57"/>
      <c r="N399" s="58"/>
    </row>
    <row r="400" spans="1:15" x14ac:dyDescent="0.25">
      <c r="A400" s="125" t="s">
        <v>395</v>
      </c>
      <c r="B400" s="88"/>
      <c r="C400" s="24">
        <v>184</v>
      </c>
      <c r="D400" s="24">
        <v>0</v>
      </c>
      <c r="E400" s="25">
        <v>0</v>
      </c>
      <c r="F400" s="25">
        <v>0</v>
      </c>
      <c r="G400" s="25">
        <f>D400+E400+F400</f>
        <v>0</v>
      </c>
      <c r="H400" s="24">
        <v>0</v>
      </c>
      <c r="I400" s="25">
        <v>0</v>
      </c>
      <c r="J400" s="25">
        <v>0</v>
      </c>
      <c r="K400" s="91">
        <f>G400+H400+I400+J400</f>
        <v>0</v>
      </c>
      <c r="L400" s="27">
        <v>0</v>
      </c>
      <c r="M400" s="27">
        <v>0</v>
      </c>
      <c r="N400" s="28">
        <f>K400+L400+M400</f>
        <v>0</v>
      </c>
    </row>
    <row r="401" spans="1:15" ht="15.75" thickBot="1" x14ac:dyDescent="0.3">
      <c r="A401" s="120" t="s">
        <v>409</v>
      </c>
      <c r="B401" s="107"/>
      <c r="C401" s="32">
        <v>0</v>
      </c>
      <c r="D401" s="32">
        <v>0</v>
      </c>
      <c r="E401" s="33">
        <v>0</v>
      </c>
      <c r="F401" s="33">
        <v>0</v>
      </c>
      <c r="G401" s="25">
        <f>D401+E401+F401</f>
        <v>0</v>
      </c>
      <c r="H401" s="32">
        <v>0</v>
      </c>
      <c r="I401" s="33">
        <v>0</v>
      </c>
      <c r="J401" s="33">
        <v>0</v>
      </c>
      <c r="K401" s="91">
        <f>G401+H401+I401+J401</f>
        <v>0</v>
      </c>
      <c r="L401" s="34">
        <v>0</v>
      </c>
      <c r="M401" s="34">
        <v>0</v>
      </c>
      <c r="N401" s="28">
        <f>K401+L401+M401</f>
        <v>0</v>
      </c>
    </row>
    <row r="402" spans="1:15" x14ac:dyDescent="0.25">
      <c r="A402" s="165" t="s">
        <v>91</v>
      </c>
      <c r="B402" s="166"/>
      <c r="C402" s="167">
        <f>SUM(C404:C413)</f>
        <v>4342</v>
      </c>
      <c r="D402" s="167">
        <f>SUM(D404:D413)</f>
        <v>510</v>
      </c>
      <c r="E402" s="167">
        <f t="shared" ref="E402:J402" si="92">SUM(E404:E413)</f>
        <v>120</v>
      </c>
      <c r="F402" s="167">
        <f t="shared" si="92"/>
        <v>10200</v>
      </c>
      <c r="G402" s="167">
        <f t="shared" si="92"/>
        <v>10980</v>
      </c>
      <c r="H402" s="167">
        <f t="shared" si="92"/>
        <v>1786.25</v>
      </c>
      <c r="I402" s="167">
        <f t="shared" si="92"/>
        <v>0</v>
      </c>
      <c r="J402" s="167">
        <f t="shared" si="92"/>
        <v>440</v>
      </c>
      <c r="K402" s="169">
        <f>G402+H402+I402+J402</f>
        <v>13206.25</v>
      </c>
      <c r="L402" s="170">
        <f>L404+L405+L406+L407+L408+L409+L410+L411+L412+L413</f>
        <v>0</v>
      </c>
      <c r="M402" s="170">
        <f t="shared" ref="M402:N402" si="93">M404+M405+M406+M407+M408+M409+M410+M411+M412+M413</f>
        <v>0</v>
      </c>
      <c r="N402" s="171">
        <f t="shared" si="93"/>
        <v>13206.25</v>
      </c>
    </row>
    <row r="403" spans="1:15" ht="14.25" customHeight="1" x14ac:dyDescent="0.25">
      <c r="A403" s="125" t="s">
        <v>30</v>
      </c>
      <c r="B403" s="88"/>
      <c r="C403" s="24"/>
      <c r="D403" s="24"/>
      <c r="E403" s="25"/>
      <c r="F403" s="25"/>
      <c r="G403" s="25"/>
      <c r="H403" s="24"/>
      <c r="I403" s="25"/>
      <c r="J403" s="25"/>
      <c r="K403" s="91"/>
      <c r="L403" s="27"/>
      <c r="M403" s="27"/>
      <c r="N403" s="28"/>
    </row>
    <row r="404" spans="1:15" ht="15" customHeight="1" x14ac:dyDescent="0.25">
      <c r="A404" s="125" t="s">
        <v>410</v>
      </c>
      <c r="B404" s="88"/>
      <c r="C404" s="24">
        <v>0</v>
      </c>
      <c r="D404" s="24">
        <v>0</v>
      </c>
      <c r="E404" s="25">
        <v>0</v>
      </c>
      <c r="F404" s="25">
        <v>0</v>
      </c>
      <c r="G404" s="25">
        <f>D404+E404+F404</f>
        <v>0</v>
      </c>
      <c r="H404" s="24">
        <v>0</v>
      </c>
      <c r="I404" s="25">
        <v>0</v>
      </c>
      <c r="J404" s="25">
        <v>0</v>
      </c>
      <c r="K404" s="91">
        <f>G404+H404+I404+J404</f>
        <v>0</v>
      </c>
      <c r="L404" s="27">
        <v>0</v>
      </c>
      <c r="M404" s="150">
        <v>0</v>
      </c>
      <c r="N404" s="28">
        <f>K404+L404+M404</f>
        <v>0</v>
      </c>
    </row>
    <row r="405" spans="1:15" ht="15" customHeight="1" x14ac:dyDescent="0.25">
      <c r="A405" s="125" t="s">
        <v>395</v>
      </c>
      <c r="B405" s="88"/>
      <c r="C405" s="24">
        <v>4342</v>
      </c>
      <c r="D405" s="24">
        <v>350</v>
      </c>
      <c r="E405" s="25">
        <v>120</v>
      </c>
      <c r="F405" s="25">
        <f>2500+2550</f>
        <v>5050</v>
      </c>
      <c r="G405" s="25">
        <f>D405+E405+F405+150</f>
        <v>5670</v>
      </c>
      <c r="H405" s="24">
        <v>400</v>
      </c>
      <c r="I405" s="25">
        <v>0</v>
      </c>
      <c r="J405" s="25">
        <v>440</v>
      </c>
      <c r="K405" s="91">
        <f t="shared" ref="K405:K413" si="94">G405+H405+I405+J405</f>
        <v>6510</v>
      </c>
      <c r="L405" s="27">
        <v>0</v>
      </c>
      <c r="M405" s="27">
        <v>0</v>
      </c>
      <c r="N405" s="28">
        <f t="shared" ref="N405:N413" si="95">K405+L405+M405</f>
        <v>6510</v>
      </c>
    </row>
    <row r="406" spans="1:15" ht="41.25" customHeight="1" x14ac:dyDescent="0.25">
      <c r="A406" s="20" t="s">
        <v>411</v>
      </c>
      <c r="B406" s="88" t="s">
        <v>79</v>
      </c>
      <c r="C406" s="24"/>
      <c r="D406" s="24">
        <v>0</v>
      </c>
      <c r="E406" s="25">
        <v>0</v>
      </c>
      <c r="F406" s="25">
        <v>150</v>
      </c>
      <c r="G406" s="25">
        <f t="shared" ref="G406:G413" si="96">D406+E406+F406</f>
        <v>150</v>
      </c>
      <c r="H406" s="24">
        <v>0</v>
      </c>
      <c r="I406" s="25">
        <v>0</v>
      </c>
      <c r="J406" s="25">
        <v>0</v>
      </c>
      <c r="K406" s="91">
        <f t="shared" si="94"/>
        <v>150</v>
      </c>
      <c r="L406" s="27">
        <v>0</v>
      </c>
      <c r="M406" s="27">
        <v>0</v>
      </c>
      <c r="N406" s="28">
        <f t="shared" si="95"/>
        <v>150</v>
      </c>
    </row>
    <row r="407" spans="1:15" ht="41.25" customHeight="1" x14ac:dyDescent="0.25">
      <c r="A407" s="20" t="s">
        <v>412</v>
      </c>
      <c r="B407" s="151" t="s">
        <v>79</v>
      </c>
      <c r="C407" s="24"/>
      <c r="D407" s="24">
        <v>0</v>
      </c>
      <c r="E407" s="33">
        <v>0</v>
      </c>
      <c r="F407" s="33">
        <v>5000</v>
      </c>
      <c r="G407" s="25">
        <f t="shared" si="96"/>
        <v>5000</v>
      </c>
      <c r="H407" s="24">
        <v>0</v>
      </c>
      <c r="I407" s="25">
        <v>0</v>
      </c>
      <c r="J407" s="25">
        <v>0</v>
      </c>
      <c r="K407" s="91">
        <f t="shared" si="94"/>
        <v>5000</v>
      </c>
      <c r="L407" s="27">
        <v>0</v>
      </c>
      <c r="M407" s="27">
        <v>0</v>
      </c>
      <c r="N407" s="28">
        <f t="shared" si="95"/>
        <v>5000</v>
      </c>
    </row>
    <row r="408" spans="1:15" ht="41.25" customHeight="1" x14ac:dyDescent="0.25">
      <c r="A408" s="29" t="s">
        <v>413</v>
      </c>
      <c r="B408" s="152" t="s">
        <v>108</v>
      </c>
      <c r="C408" s="32"/>
      <c r="D408" s="32">
        <v>0</v>
      </c>
      <c r="E408" s="33"/>
      <c r="F408" s="33"/>
      <c r="G408" s="33">
        <v>0</v>
      </c>
      <c r="H408" s="32">
        <v>90</v>
      </c>
      <c r="I408" s="33">
        <v>0</v>
      </c>
      <c r="J408" s="33">
        <v>0</v>
      </c>
      <c r="K408" s="91">
        <f t="shared" si="94"/>
        <v>90</v>
      </c>
      <c r="L408" s="27">
        <v>0</v>
      </c>
      <c r="M408" s="27">
        <v>0</v>
      </c>
      <c r="N408" s="28">
        <f t="shared" si="95"/>
        <v>90</v>
      </c>
    </row>
    <row r="409" spans="1:15" ht="25.5" customHeight="1" x14ac:dyDescent="0.25">
      <c r="A409" s="20" t="s">
        <v>414</v>
      </c>
      <c r="B409" s="151" t="s">
        <v>108</v>
      </c>
      <c r="C409" s="24"/>
      <c r="D409" s="24">
        <v>0</v>
      </c>
      <c r="E409" s="25"/>
      <c r="F409" s="25"/>
      <c r="G409" s="25">
        <v>0</v>
      </c>
      <c r="H409" s="24">
        <v>500</v>
      </c>
      <c r="I409" s="25">
        <v>0</v>
      </c>
      <c r="J409" s="25">
        <v>0</v>
      </c>
      <c r="K409" s="91">
        <f t="shared" si="94"/>
        <v>500</v>
      </c>
      <c r="L409" s="27">
        <v>0</v>
      </c>
      <c r="M409" s="27">
        <v>0</v>
      </c>
      <c r="N409" s="28">
        <f t="shared" si="95"/>
        <v>500</v>
      </c>
    </row>
    <row r="410" spans="1:15" ht="40.5" customHeight="1" x14ac:dyDescent="0.25">
      <c r="A410" s="20" t="s">
        <v>415</v>
      </c>
      <c r="B410" s="151" t="s">
        <v>170</v>
      </c>
      <c r="C410" s="24"/>
      <c r="D410" s="24">
        <v>0</v>
      </c>
      <c r="E410" s="25"/>
      <c r="F410" s="25"/>
      <c r="G410" s="25">
        <v>0</v>
      </c>
      <c r="H410" s="24">
        <v>211.71</v>
      </c>
      <c r="I410" s="25">
        <v>0</v>
      </c>
      <c r="J410" s="25">
        <v>0</v>
      </c>
      <c r="K410" s="91">
        <f t="shared" si="94"/>
        <v>211.71</v>
      </c>
      <c r="L410" s="27">
        <v>0</v>
      </c>
      <c r="M410" s="27">
        <v>0</v>
      </c>
      <c r="N410" s="28">
        <f t="shared" si="95"/>
        <v>211.71</v>
      </c>
    </row>
    <row r="411" spans="1:15" ht="42.75" customHeight="1" x14ac:dyDescent="0.25">
      <c r="A411" s="40" t="s">
        <v>416</v>
      </c>
      <c r="B411" s="153" t="s">
        <v>143</v>
      </c>
      <c r="C411" s="68"/>
      <c r="D411" s="68">
        <v>0</v>
      </c>
      <c r="E411" s="69"/>
      <c r="F411" s="69"/>
      <c r="G411" s="69">
        <v>0</v>
      </c>
      <c r="H411" s="68">
        <v>84.54</v>
      </c>
      <c r="I411" s="69">
        <v>0</v>
      </c>
      <c r="J411" s="69">
        <v>0</v>
      </c>
      <c r="K411" s="91">
        <f t="shared" si="94"/>
        <v>84.54</v>
      </c>
      <c r="L411" s="27">
        <v>0</v>
      </c>
      <c r="M411" s="27">
        <v>0</v>
      </c>
      <c r="N411" s="28">
        <f t="shared" si="95"/>
        <v>84.54</v>
      </c>
    </row>
    <row r="412" spans="1:15" ht="25.5" customHeight="1" x14ac:dyDescent="0.25">
      <c r="A412" s="20" t="s">
        <v>417</v>
      </c>
      <c r="B412" s="151" t="s">
        <v>108</v>
      </c>
      <c r="C412" s="24"/>
      <c r="D412" s="24">
        <v>0</v>
      </c>
      <c r="E412" s="25"/>
      <c r="F412" s="25"/>
      <c r="G412" s="25">
        <v>0</v>
      </c>
      <c r="H412" s="24">
        <v>500</v>
      </c>
      <c r="I412" s="25">
        <v>0</v>
      </c>
      <c r="J412" s="25">
        <v>0</v>
      </c>
      <c r="K412" s="91">
        <f t="shared" si="94"/>
        <v>500</v>
      </c>
      <c r="L412" s="27">
        <v>0</v>
      </c>
      <c r="M412" s="27">
        <v>0</v>
      </c>
      <c r="N412" s="28">
        <f t="shared" si="95"/>
        <v>500</v>
      </c>
    </row>
    <row r="413" spans="1:15" ht="15.75" thickBot="1" x14ac:dyDescent="0.3">
      <c r="A413" s="128" t="s">
        <v>418</v>
      </c>
      <c r="B413" s="129"/>
      <c r="C413" s="130">
        <v>0</v>
      </c>
      <c r="D413" s="130">
        <v>160</v>
      </c>
      <c r="E413" s="131">
        <v>0</v>
      </c>
      <c r="F413" s="131">
        <v>0</v>
      </c>
      <c r="G413" s="131">
        <f t="shared" si="96"/>
        <v>160</v>
      </c>
      <c r="H413" s="130">
        <v>0</v>
      </c>
      <c r="I413" s="131">
        <v>0</v>
      </c>
      <c r="J413" s="131">
        <v>0</v>
      </c>
      <c r="K413" s="91">
        <f t="shared" si="94"/>
        <v>160</v>
      </c>
      <c r="L413" s="34">
        <v>0</v>
      </c>
      <c r="M413" s="34">
        <v>0</v>
      </c>
      <c r="N413" s="28">
        <f t="shared" si="95"/>
        <v>160</v>
      </c>
    </row>
    <row r="414" spans="1:15" ht="15.75" thickBot="1" x14ac:dyDescent="0.3">
      <c r="A414" s="121" t="s">
        <v>287</v>
      </c>
      <c r="B414" s="109"/>
      <c r="C414" s="126" t="e">
        <f>C416+C417+#REF!+C418</f>
        <v>#REF!</v>
      </c>
      <c r="D414" s="126">
        <f>D416+D417+D418</f>
        <v>22118</v>
      </c>
      <c r="E414" s="126">
        <f t="shared" ref="E414:N414" si="97">E416+E417+E418</f>
        <v>323</v>
      </c>
      <c r="F414" s="126">
        <f t="shared" si="97"/>
        <v>14075</v>
      </c>
      <c r="G414" s="126">
        <f t="shared" si="97"/>
        <v>37151</v>
      </c>
      <c r="H414" s="126">
        <f t="shared" si="97"/>
        <v>0</v>
      </c>
      <c r="I414" s="126">
        <f t="shared" si="97"/>
        <v>0</v>
      </c>
      <c r="J414" s="126">
        <f t="shared" si="97"/>
        <v>0</v>
      </c>
      <c r="K414" s="134">
        <f t="shared" si="97"/>
        <v>37151</v>
      </c>
      <c r="L414" s="134">
        <f t="shared" si="97"/>
        <v>99</v>
      </c>
      <c r="M414" s="134">
        <f t="shared" si="97"/>
        <v>2900</v>
      </c>
      <c r="N414" s="132">
        <f t="shared" si="97"/>
        <v>40150</v>
      </c>
    </row>
    <row r="415" spans="1:15" ht="17.25" customHeight="1" x14ac:dyDescent="0.25">
      <c r="A415" s="124" t="s">
        <v>30</v>
      </c>
      <c r="B415" s="93"/>
      <c r="C415" s="55"/>
      <c r="D415" s="55"/>
      <c r="E415" s="56"/>
      <c r="F415" s="56"/>
      <c r="G415" s="56"/>
      <c r="H415" s="55"/>
      <c r="I415" s="56"/>
      <c r="J415" s="56"/>
      <c r="K415" s="154"/>
      <c r="L415" s="57"/>
      <c r="M415" s="57"/>
      <c r="N415" s="58"/>
      <c r="O415" s="39"/>
    </row>
    <row r="416" spans="1:15" ht="25.5" x14ac:dyDescent="0.25">
      <c r="A416" s="20" t="s">
        <v>419</v>
      </c>
      <c r="B416" s="88"/>
      <c r="C416" s="24">
        <v>0</v>
      </c>
      <c r="D416" s="24">
        <v>0</v>
      </c>
      <c r="E416" s="25">
        <v>0</v>
      </c>
      <c r="F416" s="25">
        <v>0</v>
      </c>
      <c r="G416" s="25">
        <f>D416+E416+F416</f>
        <v>0</v>
      </c>
      <c r="H416" s="24">
        <v>0</v>
      </c>
      <c r="I416" s="25">
        <v>0</v>
      </c>
      <c r="J416" s="25">
        <v>0</v>
      </c>
      <c r="K416" s="91">
        <f>G416+H416+I416+J416</f>
        <v>0</v>
      </c>
      <c r="L416" s="27">
        <v>0</v>
      </c>
      <c r="M416" s="27">
        <v>0</v>
      </c>
      <c r="N416" s="28">
        <f>K416+L416+M416</f>
        <v>0</v>
      </c>
    </row>
    <row r="417" spans="1:14" x14ac:dyDescent="0.25">
      <c r="A417" s="125" t="s">
        <v>395</v>
      </c>
      <c r="B417" s="88"/>
      <c r="C417" s="24">
        <v>33880</v>
      </c>
      <c r="D417" s="24">
        <v>21618</v>
      </c>
      <c r="E417" s="25">
        <f>323</f>
        <v>323</v>
      </c>
      <c r="F417" s="25">
        <v>14075</v>
      </c>
      <c r="G417" s="25">
        <f>D417+E417+F417+635</f>
        <v>36651</v>
      </c>
      <c r="H417" s="24">
        <v>0</v>
      </c>
      <c r="I417" s="25">
        <v>0</v>
      </c>
      <c r="J417" s="25">
        <v>0</v>
      </c>
      <c r="K417" s="91">
        <f t="shared" ref="K417:K418" si="98">G417+H417+I417+J417</f>
        <v>36651</v>
      </c>
      <c r="L417" s="27">
        <f>99</f>
        <v>99</v>
      </c>
      <c r="M417" s="27">
        <v>2900</v>
      </c>
      <c r="N417" s="28">
        <f t="shared" ref="N417:N418" si="99">K417+L417+M417</f>
        <v>39650</v>
      </c>
    </row>
    <row r="418" spans="1:14" ht="25.5" customHeight="1" thickBot="1" x14ac:dyDescent="0.3">
      <c r="A418" s="29" t="s">
        <v>420</v>
      </c>
      <c r="B418" s="107"/>
      <c r="C418" s="32">
        <v>0</v>
      </c>
      <c r="D418" s="32">
        <v>500</v>
      </c>
      <c r="E418" s="33">
        <v>0</v>
      </c>
      <c r="F418" s="33">
        <v>0</v>
      </c>
      <c r="G418" s="25">
        <f t="shared" ref="G418" si="100">D418+E418+F418</f>
        <v>500</v>
      </c>
      <c r="H418" s="32">
        <v>0</v>
      </c>
      <c r="I418" s="33">
        <v>0</v>
      </c>
      <c r="J418" s="33">
        <v>0</v>
      </c>
      <c r="K418" s="91">
        <f t="shared" si="98"/>
        <v>500</v>
      </c>
      <c r="L418" s="34">
        <v>0</v>
      </c>
      <c r="M418" s="34">
        <v>0</v>
      </c>
      <c r="N418" s="28">
        <f t="shared" si="99"/>
        <v>500</v>
      </c>
    </row>
    <row r="419" spans="1:14" ht="15.75" thickBot="1" x14ac:dyDescent="0.3">
      <c r="A419" s="121" t="s">
        <v>294</v>
      </c>
      <c r="B419" s="109"/>
      <c r="C419" s="126">
        <f>C421+C422+C423+C424+C426</f>
        <v>2560.38</v>
      </c>
      <c r="D419" s="126">
        <f>D421+D422+D423+D424+D426</f>
        <v>1510</v>
      </c>
      <c r="E419" s="126">
        <f t="shared" ref="E419:F419" si="101">E421+E422+E423+E424+E426</f>
        <v>0</v>
      </c>
      <c r="F419" s="126">
        <f t="shared" si="101"/>
        <v>0</v>
      </c>
      <c r="G419" s="134">
        <f>D419+E419+F419</f>
        <v>1510</v>
      </c>
      <c r="H419" s="126">
        <f>H421+H422+H423+H424+H426</f>
        <v>0</v>
      </c>
      <c r="I419" s="126">
        <f>I421+I422+I423+I424+I426</f>
        <v>0</v>
      </c>
      <c r="J419" s="126">
        <f>J421+J422+J423+J424+J426</f>
        <v>100</v>
      </c>
      <c r="K419" s="110">
        <f>G419+H419+I419+J419</f>
        <v>1610</v>
      </c>
      <c r="L419" s="112">
        <f>L421+L422+L423+L424+L426+L425</f>
        <v>0</v>
      </c>
      <c r="M419" s="112">
        <f t="shared" ref="M419:N419" si="102">M421+M422+M423+M424+M426+M425</f>
        <v>200</v>
      </c>
      <c r="N419" s="111">
        <f t="shared" si="102"/>
        <v>1810</v>
      </c>
    </row>
    <row r="420" spans="1:14" x14ac:dyDescent="0.25">
      <c r="A420" s="155" t="s">
        <v>30</v>
      </c>
      <c r="B420" s="114"/>
      <c r="C420" s="15"/>
      <c r="D420" s="15"/>
      <c r="E420" s="16"/>
      <c r="F420" s="16"/>
      <c r="G420" s="16"/>
      <c r="H420" s="55"/>
      <c r="I420" s="56"/>
      <c r="J420" s="56"/>
      <c r="K420" s="26"/>
      <c r="L420" s="57"/>
      <c r="M420" s="57"/>
      <c r="N420" s="58"/>
    </row>
    <row r="421" spans="1:14" ht="25.5" x14ac:dyDescent="0.25">
      <c r="A421" s="20" t="s">
        <v>421</v>
      </c>
      <c r="B421" s="88"/>
      <c r="C421" s="24">
        <v>262.38</v>
      </c>
      <c r="D421" s="24">
        <v>0</v>
      </c>
      <c r="E421" s="25">
        <v>0</v>
      </c>
      <c r="F421" s="25">
        <v>0</v>
      </c>
      <c r="G421" s="25">
        <f>D421+E421+F421</f>
        <v>0</v>
      </c>
      <c r="H421" s="24">
        <v>0</v>
      </c>
      <c r="I421" s="25">
        <v>0</v>
      </c>
      <c r="J421" s="25">
        <v>0</v>
      </c>
      <c r="K421" s="91">
        <f>G421+H421+I421+J421</f>
        <v>0</v>
      </c>
      <c r="L421" s="27">
        <v>0</v>
      </c>
      <c r="M421" s="27">
        <v>0</v>
      </c>
      <c r="N421" s="28">
        <f>K421+L421+M421</f>
        <v>0</v>
      </c>
    </row>
    <row r="422" spans="1:14" x14ac:dyDescent="0.25">
      <c r="A422" s="125" t="s">
        <v>395</v>
      </c>
      <c r="B422" s="88"/>
      <c r="C422" s="24">
        <v>910</v>
      </c>
      <c r="D422" s="24">
        <v>475</v>
      </c>
      <c r="E422" s="25">
        <v>0</v>
      </c>
      <c r="F422" s="25">
        <v>0</v>
      </c>
      <c r="G422" s="25">
        <f t="shared" ref="G422:G426" si="103">D422+E422+F422</f>
        <v>475</v>
      </c>
      <c r="H422" s="24">
        <v>0</v>
      </c>
      <c r="I422" s="25">
        <v>0</v>
      </c>
      <c r="J422" s="25">
        <v>100</v>
      </c>
      <c r="K422" s="91">
        <f t="shared" ref="K422:K426" si="104">G422+H422+I422+J422</f>
        <v>575</v>
      </c>
      <c r="L422" s="27">
        <v>0</v>
      </c>
      <c r="M422" s="27">
        <v>0</v>
      </c>
      <c r="N422" s="28">
        <f t="shared" ref="N422:N426" si="105">K422+L422+M422</f>
        <v>575</v>
      </c>
    </row>
    <row r="423" spans="1:14" ht="25.5" customHeight="1" x14ac:dyDescent="0.25">
      <c r="A423" s="20" t="s">
        <v>422</v>
      </c>
      <c r="B423" s="88" t="s">
        <v>297</v>
      </c>
      <c r="C423" s="24">
        <v>800.7</v>
      </c>
      <c r="D423" s="24">
        <v>835</v>
      </c>
      <c r="E423" s="25">
        <v>0</v>
      </c>
      <c r="F423" s="25">
        <v>0</v>
      </c>
      <c r="G423" s="25">
        <f t="shared" si="103"/>
        <v>835</v>
      </c>
      <c r="H423" s="24">
        <v>0</v>
      </c>
      <c r="I423" s="25">
        <v>0</v>
      </c>
      <c r="J423" s="25">
        <v>0</v>
      </c>
      <c r="K423" s="91">
        <f t="shared" si="104"/>
        <v>835</v>
      </c>
      <c r="L423" s="27">
        <v>0</v>
      </c>
      <c r="M423" s="27">
        <v>0</v>
      </c>
      <c r="N423" s="28">
        <f t="shared" si="105"/>
        <v>835</v>
      </c>
    </row>
    <row r="424" spans="1:14" x14ac:dyDescent="0.25">
      <c r="A424" s="125" t="s">
        <v>423</v>
      </c>
      <c r="B424" s="88" t="s">
        <v>79</v>
      </c>
      <c r="C424" s="24">
        <v>150</v>
      </c>
      <c r="D424" s="24">
        <v>200</v>
      </c>
      <c r="E424" s="25">
        <v>0</v>
      </c>
      <c r="F424" s="25">
        <v>0</v>
      </c>
      <c r="G424" s="25">
        <f t="shared" si="103"/>
        <v>200</v>
      </c>
      <c r="H424" s="24">
        <v>0</v>
      </c>
      <c r="I424" s="25">
        <v>0</v>
      </c>
      <c r="J424" s="25">
        <v>0</v>
      </c>
      <c r="K424" s="91">
        <f t="shared" si="104"/>
        <v>200</v>
      </c>
      <c r="L424" s="27">
        <v>0</v>
      </c>
      <c r="M424" s="27">
        <v>0</v>
      </c>
      <c r="N424" s="28">
        <f t="shared" si="105"/>
        <v>200</v>
      </c>
    </row>
    <row r="425" spans="1:14" x14ac:dyDescent="0.25">
      <c r="A425" s="120" t="s">
        <v>424</v>
      </c>
      <c r="B425" s="107"/>
      <c r="C425" s="32"/>
      <c r="D425" s="32">
        <v>0</v>
      </c>
      <c r="E425" s="33"/>
      <c r="F425" s="33"/>
      <c r="G425" s="25"/>
      <c r="H425" s="32"/>
      <c r="I425" s="33"/>
      <c r="J425" s="33"/>
      <c r="K425" s="91">
        <v>0</v>
      </c>
      <c r="L425" s="34">
        <v>0</v>
      </c>
      <c r="M425" s="34">
        <v>200</v>
      </c>
      <c r="N425" s="28">
        <f t="shared" si="105"/>
        <v>200</v>
      </c>
    </row>
    <row r="426" spans="1:14" ht="25.5" customHeight="1" x14ac:dyDescent="0.25">
      <c r="A426" s="20" t="s">
        <v>425</v>
      </c>
      <c r="B426" s="88"/>
      <c r="C426" s="24">
        <v>437.3</v>
      </c>
      <c r="D426" s="24">
        <v>0</v>
      </c>
      <c r="E426" s="25">
        <v>0</v>
      </c>
      <c r="F426" s="25">
        <v>0</v>
      </c>
      <c r="G426" s="25">
        <f t="shared" si="103"/>
        <v>0</v>
      </c>
      <c r="H426" s="24">
        <v>0</v>
      </c>
      <c r="I426" s="25">
        <v>0</v>
      </c>
      <c r="J426" s="25">
        <v>0</v>
      </c>
      <c r="K426" s="91">
        <f t="shared" si="104"/>
        <v>0</v>
      </c>
      <c r="L426" s="27">
        <v>0</v>
      </c>
      <c r="M426" s="27">
        <v>0</v>
      </c>
      <c r="N426" s="28">
        <f t="shared" si="105"/>
        <v>0</v>
      </c>
    </row>
    <row r="427" spans="1:14" ht="15.75" thickBot="1" x14ac:dyDescent="0.3">
      <c r="A427" s="156" t="s">
        <v>301</v>
      </c>
      <c r="B427" s="157"/>
      <c r="C427" s="158">
        <f>C429+C430</f>
        <v>0</v>
      </c>
      <c r="D427" s="158">
        <f>D429+D430</f>
        <v>0</v>
      </c>
      <c r="E427" s="158">
        <f t="shared" ref="E427:F427" si="106">E429+E430</f>
        <v>0</v>
      </c>
      <c r="F427" s="158">
        <f t="shared" si="106"/>
        <v>0</v>
      </c>
      <c r="G427" s="159">
        <f>D427+E427+F427</f>
        <v>0</v>
      </c>
      <c r="H427" s="158">
        <f>H429+H430</f>
        <v>0</v>
      </c>
      <c r="I427" s="158">
        <f>I429+I430</f>
        <v>0</v>
      </c>
      <c r="J427" s="158">
        <f>J429+J430</f>
        <v>0</v>
      </c>
      <c r="K427" s="160">
        <f>G427+H427+I427+J427</f>
        <v>0</v>
      </c>
      <c r="L427" s="161">
        <f>L429+L430</f>
        <v>0</v>
      </c>
      <c r="M427" s="161">
        <f t="shared" ref="M427:N427" si="107">M429+M430</f>
        <v>0</v>
      </c>
      <c r="N427" s="162">
        <f t="shared" si="107"/>
        <v>0</v>
      </c>
    </row>
    <row r="428" spans="1:14" x14ac:dyDescent="0.25">
      <c r="A428" s="124" t="s">
        <v>30</v>
      </c>
      <c r="B428" s="93"/>
      <c r="C428" s="55"/>
      <c r="D428" s="55"/>
      <c r="E428" s="56"/>
      <c r="F428" s="56"/>
      <c r="G428" s="56"/>
      <c r="H428" s="55"/>
      <c r="I428" s="56"/>
      <c r="J428" s="56"/>
      <c r="K428" s="26"/>
      <c r="L428" s="57"/>
      <c r="M428" s="57"/>
      <c r="N428" s="58"/>
    </row>
    <row r="429" spans="1:14" x14ac:dyDescent="0.25">
      <c r="A429" s="125" t="s">
        <v>426</v>
      </c>
      <c r="B429" s="88"/>
      <c r="C429" s="24">
        <v>0</v>
      </c>
      <c r="D429" s="24">
        <v>0</v>
      </c>
      <c r="E429" s="25">
        <v>0</v>
      </c>
      <c r="F429" s="25">
        <v>0</v>
      </c>
      <c r="G429" s="25">
        <f>D429+E429+F429</f>
        <v>0</v>
      </c>
      <c r="H429" s="24">
        <v>0</v>
      </c>
      <c r="I429" s="25">
        <v>0</v>
      </c>
      <c r="J429" s="25">
        <v>0</v>
      </c>
      <c r="K429" s="91">
        <f>G429+H429+I429+J429</f>
        <v>0</v>
      </c>
      <c r="L429" s="27">
        <v>0</v>
      </c>
      <c r="M429" s="27">
        <v>0</v>
      </c>
      <c r="N429" s="28">
        <f>K429+L429+M429</f>
        <v>0</v>
      </c>
    </row>
    <row r="430" spans="1:14" ht="15.75" thickBot="1" x14ac:dyDescent="0.3">
      <c r="A430" s="120" t="s">
        <v>427</v>
      </c>
      <c r="B430" s="107"/>
      <c r="C430" s="32">
        <v>0</v>
      </c>
      <c r="D430" s="32">
        <v>0</v>
      </c>
      <c r="E430" s="33">
        <v>0</v>
      </c>
      <c r="F430" s="33">
        <v>0</v>
      </c>
      <c r="G430" s="33">
        <f>D430+E430+F430</f>
        <v>0</v>
      </c>
      <c r="H430" s="32">
        <v>0</v>
      </c>
      <c r="I430" s="33">
        <v>0</v>
      </c>
      <c r="J430" s="33">
        <v>0</v>
      </c>
      <c r="K430" s="91">
        <f>G430+H430+I430+J430</f>
        <v>0</v>
      </c>
      <c r="L430" s="34">
        <v>0</v>
      </c>
      <c r="M430" s="34">
        <v>0</v>
      </c>
      <c r="N430" s="28">
        <f>K430+L430+M430</f>
        <v>0</v>
      </c>
    </row>
    <row r="431" spans="1:14" ht="15.75" thickBot="1" x14ac:dyDescent="0.3">
      <c r="A431" s="121" t="s">
        <v>304</v>
      </c>
      <c r="B431" s="109"/>
      <c r="C431" s="126" t="e">
        <f>C433+#REF!+#REF!+#REF!+C441</f>
        <v>#REF!</v>
      </c>
      <c r="D431" s="126">
        <f>D433+D434+D435+D436+D437+D438+D439+D440+D441</f>
        <v>0</v>
      </c>
      <c r="E431" s="126">
        <f t="shared" ref="E431:N431" si="108">E433+E434+E435+E436+E437+E438+E439+E440+E441</f>
        <v>0</v>
      </c>
      <c r="F431" s="126">
        <f t="shared" si="108"/>
        <v>1000</v>
      </c>
      <c r="G431" s="126">
        <f t="shared" si="108"/>
        <v>1779.13</v>
      </c>
      <c r="H431" s="126">
        <f t="shared" si="108"/>
        <v>65</v>
      </c>
      <c r="I431" s="126">
        <f t="shared" si="108"/>
        <v>0</v>
      </c>
      <c r="J431" s="126">
        <f t="shared" si="108"/>
        <v>0</v>
      </c>
      <c r="K431" s="126">
        <f t="shared" si="108"/>
        <v>1844.13</v>
      </c>
      <c r="L431" s="126">
        <f t="shared" si="108"/>
        <v>410.8</v>
      </c>
      <c r="M431" s="126">
        <f t="shared" si="108"/>
        <v>250</v>
      </c>
      <c r="N431" s="132">
        <f t="shared" si="108"/>
        <v>2504.9300000000003</v>
      </c>
    </row>
    <row r="432" spans="1:14" x14ac:dyDescent="0.25">
      <c r="A432" s="124" t="s">
        <v>30</v>
      </c>
      <c r="B432" s="93"/>
      <c r="C432" s="55"/>
      <c r="D432" s="55"/>
      <c r="E432" s="56"/>
      <c r="F432" s="56"/>
      <c r="G432" s="56"/>
      <c r="H432" s="55"/>
      <c r="I432" s="56"/>
      <c r="J432" s="56"/>
      <c r="K432" s="26"/>
      <c r="L432" s="57"/>
      <c r="M432" s="57"/>
      <c r="N432" s="58"/>
    </row>
    <row r="433" spans="1:15" x14ac:dyDescent="0.25">
      <c r="A433" s="124" t="s">
        <v>428</v>
      </c>
      <c r="B433" s="93"/>
      <c r="C433" s="55">
        <v>0</v>
      </c>
      <c r="D433" s="55">
        <v>0</v>
      </c>
      <c r="E433" s="56">
        <v>0</v>
      </c>
      <c r="F433" s="56">
        <v>0</v>
      </c>
      <c r="G433" s="56">
        <f>D433+E433+F433</f>
        <v>0</v>
      </c>
      <c r="H433" s="24">
        <v>0</v>
      </c>
      <c r="I433" s="25">
        <v>0</v>
      </c>
      <c r="J433" s="25">
        <v>0</v>
      </c>
      <c r="K433" s="91">
        <f>G433+H433+I433+J433</f>
        <v>0</v>
      </c>
      <c r="L433" s="27">
        <v>0</v>
      </c>
      <c r="M433" s="27">
        <v>0</v>
      </c>
      <c r="N433" s="28">
        <f>K433+L433+M433</f>
        <v>0</v>
      </c>
    </row>
    <row r="434" spans="1:15" x14ac:dyDescent="0.25">
      <c r="A434" s="124" t="s">
        <v>429</v>
      </c>
      <c r="B434" s="93" t="s">
        <v>330</v>
      </c>
      <c r="C434" s="55"/>
      <c r="D434" s="55">
        <v>0</v>
      </c>
      <c r="E434" s="56"/>
      <c r="F434" s="56"/>
      <c r="G434" s="56">
        <v>735.84</v>
      </c>
      <c r="H434" s="24">
        <v>0</v>
      </c>
      <c r="I434" s="25">
        <v>0</v>
      </c>
      <c r="J434" s="25">
        <v>0</v>
      </c>
      <c r="K434" s="91">
        <f t="shared" ref="K434:K441" si="109">G434+H434+I434+J434</f>
        <v>735.84</v>
      </c>
      <c r="L434" s="27">
        <v>0</v>
      </c>
      <c r="M434" s="27">
        <v>0</v>
      </c>
      <c r="N434" s="28">
        <f t="shared" ref="N434:N441" si="110">K434+L434+M434</f>
        <v>735.84</v>
      </c>
    </row>
    <row r="435" spans="1:15" x14ac:dyDescent="0.25">
      <c r="A435" s="124" t="s">
        <v>430</v>
      </c>
      <c r="B435" s="93" t="s">
        <v>330</v>
      </c>
      <c r="C435" s="55"/>
      <c r="D435" s="55">
        <v>0</v>
      </c>
      <c r="E435" s="56"/>
      <c r="F435" s="56"/>
      <c r="G435" s="56">
        <v>43.29</v>
      </c>
      <c r="H435" s="24">
        <v>0</v>
      </c>
      <c r="I435" s="25">
        <v>0</v>
      </c>
      <c r="J435" s="25">
        <v>0</v>
      </c>
      <c r="K435" s="91">
        <f t="shared" si="109"/>
        <v>43.29</v>
      </c>
      <c r="L435" s="27">
        <v>0</v>
      </c>
      <c r="M435" s="27">
        <v>0</v>
      </c>
      <c r="N435" s="28">
        <f t="shared" si="110"/>
        <v>43.29</v>
      </c>
    </row>
    <row r="436" spans="1:15" x14ac:dyDescent="0.25">
      <c r="A436" s="124" t="s">
        <v>323</v>
      </c>
      <c r="B436" s="93" t="s">
        <v>431</v>
      </c>
      <c r="C436" s="55"/>
      <c r="D436" s="55">
        <v>0</v>
      </c>
      <c r="E436" s="56"/>
      <c r="F436" s="56"/>
      <c r="G436" s="56"/>
      <c r="H436" s="24"/>
      <c r="I436" s="25"/>
      <c r="J436" s="25"/>
      <c r="K436" s="91">
        <v>0</v>
      </c>
      <c r="L436" s="27">
        <v>167</v>
      </c>
      <c r="M436" s="27">
        <v>0</v>
      </c>
      <c r="N436" s="28">
        <f t="shared" si="110"/>
        <v>167</v>
      </c>
    </row>
    <row r="437" spans="1:15" x14ac:dyDescent="0.25">
      <c r="A437" s="124" t="s">
        <v>432</v>
      </c>
      <c r="B437" s="93" t="s">
        <v>433</v>
      </c>
      <c r="C437" s="55"/>
      <c r="D437" s="55">
        <v>0</v>
      </c>
      <c r="E437" s="56"/>
      <c r="F437" s="56"/>
      <c r="G437" s="56"/>
      <c r="H437" s="24"/>
      <c r="I437" s="25"/>
      <c r="J437" s="25"/>
      <c r="K437" s="91">
        <v>0</v>
      </c>
      <c r="L437" s="27">
        <v>243.8</v>
      </c>
      <c r="M437" s="27">
        <v>0</v>
      </c>
      <c r="N437" s="28">
        <f t="shared" si="110"/>
        <v>243.8</v>
      </c>
    </row>
    <row r="438" spans="1:15" ht="25.5" x14ac:dyDescent="0.25">
      <c r="A438" s="20" t="s">
        <v>434</v>
      </c>
      <c r="B438" s="88" t="s">
        <v>42</v>
      </c>
      <c r="C438" s="24"/>
      <c r="D438" s="24">
        <v>0</v>
      </c>
      <c r="E438" s="25">
        <v>0</v>
      </c>
      <c r="F438" s="24">
        <v>1000</v>
      </c>
      <c r="G438" s="24">
        <f>D438+E438+F438</f>
        <v>1000</v>
      </c>
      <c r="H438" s="24">
        <v>0</v>
      </c>
      <c r="I438" s="25">
        <v>0</v>
      </c>
      <c r="J438" s="25">
        <v>0</v>
      </c>
      <c r="K438" s="91">
        <f t="shared" si="109"/>
        <v>1000</v>
      </c>
      <c r="L438" s="27">
        <v>0</v>
      </c>
      <c r="M438" s="27">
        <v>0</v>
      </c>
      <c r="N438" s="28">
        <f t="shared" si="110"/>
        <v>1000</v>
      </c>
    </row>
    <row r="439" spans="1:15" ht="38.25" x14ac:dyDescent="0.25">
      <c r="A439" s="20" t="s">
        <v>435</v>
      </c>
      <c r="B439" s="88" t="s">
        <v>79</v>
      </c>
      <c r="C439" s="24"/>
      <c r="D439" s="24">
        <v>0</v>
      </c>
      <c r="E439" s="25"/>
      <c r="F439" s="25"/>
      <c r="G439" s="25">
        <v>0</v>
      </c>
      <c r="H439" s="24">
        <v>65</v>
      </c>
      <c r="I439" s="25">
        <v>0</v>
      </c>
      <c r="J439" s="25">
        <v>0</v>
      </c>
      <c r="K439" s="91">
        <f t="shared" si="109"/>
        <v>65</v>
      </c>
      <c r="L439" s="27">
        <v>0</v>
      </c>
      <c r="M439" s="27">
        <v>0</v>
      </c>
      <c r="N439" s="28">
        <f t="shared" si="110"/>
        <v>65</v>
      </c>
    </row>
    <row r="440" spans="1:15" ht="25.5" x14ac:dyDescent="0.25">
      <c r="A440" s="20" t="s">
        <v>436</v>
      </c>
      <c r="B440" s="88" t="s">
        <v>79</v>
      </c>
      <c r="C440" s="24"/>
      <c r="D440" s="24">
        <v>0</v>
      </c>
      <c r="E440" s="25"/>
      <c r="F440" s="25"/>
      <c r="G440" s="25"/>
      <c r="H440" s="24"/>
      <c r="I440" s="25"/>
      <c r="J440" s="25"/>
      <c r="K440" s="91">
        <v>0</v>
      </c>
      <c r="L440" s="27">
        <v>0</v>
      </c>
      <c r="M440" s="27">
        <v>250</v>
      </c>
      <c r="N440" s="28">
        <f t="shared" si="110"/>
        <v>250</v>
      </c>
    </row>
    <row r="441" spans="1:15" ht="15.75" thickBot="1" x14ac:dyDescent="0.3">
      <c r="A441" s="163" t="s">
        <v>437</v>
      </c>
      <c r="B441" s="96"/>
      <c r="C441" s="164">
        <v>0</v>
      </c>
      <c r="D441" s="164">
        <v>0</v>
      </c>
      <c r="E441" s="101">
        <v>0</v>
      </c>
      <c r="F441" s="101">
        <v>0</v>
      </c>
      <c r="G441" s="101">
        <f t="shared" ref="G441" si="111">D441+E441+F441</f>
        <v>0</v>
      </c>
      <c r="H441" s="164">
        <v>0</v>
      </c>
      <c r="I441" s="101">
        <v>0</v>
      </c>
      <c r="J441" s="101">
        <v>0</v>
      </c>
      <c r="K441" s="26">
        <f t="shared" si="109"/>
        <v>0</v>
      </c>
      <c r="L441" s="43">
        <v>0</v>
      </c>
      <c r="M441" s="43">
        <v>0</v>
      </c>
      <c r="N441" s="28">
        <f t="shared" si="110"/>
        <v>0</v>
      </c>
      <c r="O441" s="39"/>
    </row>
    <row r="442" spans="1:15" ht="15.75" thickBot="1" x14ac:dyDescent="0.3">
      <c r="A442" s="121" t="s">
        <v>357</v>
      </c>
      <c r="B442" s="109"/>
      <c r="C442" s="126" t="e">
        <f>C444+#REF!+C445+C446+C447</f>
        <v>#REF!</v>
      </c>
      <c r="D442" s="126">
        <f>D444+D445+D446+D447</f>
        <v>178650</v>
      </c>
      <c r="E442" s="126">
        <f t="shared" ref="E442:K442" si="112">E444+E445+E446+E447</f>
        <v>1991</v>
      </c>
      <c r="F442" s="126">
        <f t="shared" si="112"/>
        <v>32976</v>
      </c>
      <c r="G442" s="126">
        <f t="shared" si="112"/>
        <v>211614</v>
      </c>
      <c r="H442" s="126">
        <f t="shared" si="112"/>
        <v>3100</v>
      </c>
      <c r="I442" s="126">
        <f t="shared" si="112"/>
        <v>0</v>
      </c>
      <c r="J442" s="126">
        <f t="shared" si="112"/>
        <v>0</v>
      </c>
      <c r="K442" s="126">
        <f t="shared" si="112"/>
        <v>214714</v>
      </c>
      <c r="L442" s="112">
        <f>L444+L445+L446+L447</f>
        <v>-1264.3499999999999</v>
      </c>
      <c r="M442" s="112">
        <f t="shared" ref="M442:N442" si="113">M444+M445+M446+M447</f>
        <v>0</v>
      </c>
      <c r="N442" s="111">
        <f t="shared" si="113"/>
        <v>213449.65</v>
      </c>
      <c r="O442" s="39"/>
    </row>
    <row r="443" spans="1:15" x14ac:dyDescent="0.25">
      <c r="A443" s="124" t="s">
        <v>30</v>
      </c>
      <c r="B443" s="93"/>
      <c r="C443" s="55"/>
      <c r="D443" s="55"/>
      <c r="E443" s="56"/>
      <c r="F443" s="56"/>
      <c r="G443" s="56"/>
      <c r="H443" s="55"/>
      <c r="I443" s="56"/>
      <c r="J443" s="56"/>
      <c r="K443" s="26"/>
      <c r="L443" s="57"/>
      <c r="M443" s="57"/>
      <c r="N443" s="58"/>
    </row>
    <row r="444" spans="1:15" x14ac:dyDescent="0.25">
      <c r="A444" s="125" t="s">
        <v>438</v>
      </c>
      <c r="B444" s="88"/>
      <c r="C444" s="24">
        <v>0</v>
      </c>
      <c r="D444" s="24">
        <v>0</v>
      </c>
      <c r="E444" s="25">
        <v>0</v>
      </c>
      <c r="F444" s="25">
        <v>0</v>
      </c>
      <c r="G444" s="25">
        <f>D444+E444+F444</f>
        <v>0</v>
      </c>
      <c r="H444" s="24">
        <v>0</v>
      </c>
      <c r="I444" s="25">
        <v>0</v>
      </c>
      <c r="J444" s="25">
        <v>0</v>
      </c>
      <c r="K444" s="91">
        <f>G444+H444+I444+J444</f>
        <v>0</v>
      </c>
      <c r="L444" s="27">
        <v>0</v>
      </c>
      <c r="M444" s="27">
        <v>0</v>
      </c>
      <c r="N444" s="28">
        <f>K444+L444+M444</f>
        <v>0</v>
      </c>
    </row>
    <row r="445" spans="1:15" ht="25.5" customHeight="1" x14ac:dyDescent="0.25">
      <c r="A445" s="20" t="s">
        <v>439</v>
      </c>
      <c r="B445" s="88" t="s">
        <v>79</v>
      </c>
      <c r="C445" s="24">
        <v>400</v>
      </c>
      <c r="D445" s="24">
        <v>400</v>
      </c>
      <c r="E445" s="25">
        <v>0</v>
      </c>
      <c r="F445" s="25">
        <v>0</v>
      </c>
      <c r="G445" s="25">
        <f t="shared" ref="G445:G447" si="114">D445+E445+F445</f>
        <v>400</v>
      </c>
      <c r="H445" s="24">
        <v>0</v>
      </c>
      <c r="I445" s="25">
        <v>0</v>
      </c>
      <c r="J445" s="25">
        <v>0</v>
      </c>
      <c r="K445" s="91">
        <f t="shared" ref="K445:K447" si="115">G445+H445+I445+J445</f>
        <v>400</v>
      </c>
      <c r="L445" s="27">
        <v>0</v>
      </c>
      <c r="M445" s="27">
        <v>0</v>
      </c>
      <c r="N445" s="28">
        <f t="shared" ref="N445:N447" si="116">K445+L445+M445</f>
        <v>400</v>
      </c>
    </row>
    <row r="446" spans="1:15" x14ac:dyDescent="0.25">
      <c r="A446" s="125" t="s">
        <v>395</v>
      </c>
      <c r="B446" s="88"/>
      <c r="C446" s="24">
        <v>254466.7</v>
      </c>
      <c r="D446" s="24">
        <v>166750</v>
      </c>
      <c r="E446" s="25">
        <f>641+350+1000</f>
        <v>1991</v>
      </c>
      <c r="F446" s="25">
        <v>32976</v>
      </c>
      <c r="G446" s="25">
        <f>D446+E446+F446-2153+650-103-397</f>
        <v>199714</v>
      </c>
      <c r="H446" s="24">
        <v>3100</v>
      </c>
      <c r="I446" s="25">
        <v>0</v>
      </c>
      <c r="J446" s="25">
        <v>0</v>
      </c>
      <c r="K446" s="91">
        <v>202814</v>
      </c>
      <c r="L446" s="27">
        <f>-2006.35-650+1392</f>
        <v>-1264.3499999999999</v>
      </c>
      <c r="M446" s="27">
        <v>0</v>
      </c>
      <c r="N446" s="28">
        <f t="shared" si="116"/>
        <v>201549.65</v>
      </c>
    </row>
    <row r="447" spans="1:15" ht="15.75" thickBot="1" x14ac:dyDescent="0.3">
      <c r="A447" s="163" t="s">
        <v>440</v>
      </c>
      <c r="B447" s="96"/>
      <c r="C447" s="164">
        <v>0</v>
      </c>
      <c r="D447" s="164">
        <v>11500</v>
      </c>
      <c r="E447" s="101">
        <v>0</v>
      </c>
      <c r="F447" s="101">
        <v>0</v>
      </c>
      <c r="G447" s="101">
        <f t="shared" si="114"/>
        <v>11500</v>
      </c>
      <c r="H447" s="164">
        <v>0</v>
      </c>
      <c r="I447" s="101">
        <v>0</v>
      </c>
      <c r="J447" s="101">
        <v>0</v>
      </c>
      <c r="K447" s="91">
        <f t="shared" si="115"/>
        <v>11500</v>
      </c>
      <c r="L447" s="34">
        <v>0</v>
      </c>
      <c r="M447" s="34">
        <v>0</v>
      </c>
      <c r="N447" s="28">
        <f t="shared" si="116"/>
        <v>11500</v>
      </c>
    </row>
    <row r="448" spans="1:15" ht="15.75" thickBot="1" x14ac:dyDescent="0.3">
      <c r="A448" s="121" t="s">
        <v>360</v>
      </c>
      <c r="B448" s="109"/>
      <c r="C448" s="126">
        <f>C450+C451+C452</f>
        <v>1199.55</v>
      </c>
      <c r="D448" s="126">
        <f>D450+D451+D452</f>
        <v>1200</v>
      </c>
      <c r="E448" s="126">
        <f t="shared" ref="E448" si="117">E450+E451+E452</f>
        <v>-500</v>
      </c>
      <c r="F448" s="126">
        <f>F450+F451+F452</f>
        <v>196.25</v>
      </c>
      <c r="G448" s="134">
        <f>D448+E448+F448</f>
        <v>896.25</v>
      </c>
      <c r="H448" s="126">
        <f>H450+H451+H452</f>
        <v>0</v>
      </c>
      <c r="I448" s="126">
        <f>I450+I451+I452</f>
        <v>0</v>
      </c>
      <c r="J448" s="126">
        <f>J450+J451+J452</f>
        <v>0</v>
      </c>
      <c r="K448" s="110">
        <f>G448+H448+I448+J448</f>
        <v>896.25</v>
      </c>
      <c r="L448" s="112">
        <f>L450+L451+L452</f>
        <v>-7.4399999999999977</v>
      </c>
      <c r="M448" s="112">
        <f t="shared" ref="M448:N448" si="118">M450+M451+M452</f>
        <v>0</v>
      </c>
      <c r="N448" s="111">
        <f t="shared" si="118"/>
        <v>888.81</v>
      </c>
      <c r="O448" s="39"/>
    </row>
    <row r="449" spans="1:15" x14ac:dyDescent="0.25">
      <c r="A449" s="124" t="s">
        <v>30</v>
      </c>
      <c r="B449" s="93"/>
      <c r="C449" s="55"/>
      <c r="D449" s="55"/>
      <c r="E449" s="56"/>
      <c r="F449" s="56"/>
      <c r="G449" s="56"/>
      <c r="H449" s="55"/>
      <c r="I449" s="56"/>
      <c r="J449" s="56"/>
      <c r="K449" s="26"/>
      <c r="L449" s="57"/>
      <c r="M449" s="57"/>
      <c r="N449" s="58"/>
    </row>
    <row r="450" spans="1:15" ht="25.5" x14ac:dyDescent="0.25">
      <c r="A450" s="20" t="s">
        <v>441</v>
      </c>
      <c r="B450" s="88"/>
      <c r="C450" s="24">
        <v>0</v>
      </c>
      <c r="D450" s="24">
        <v>0</v>
      </c>
      <c r="E450" s="25">
        <v>0</v>
      </c>
      <c r="F450" s="25">
        <v>0</v>
      </c>
      <c r="G450" s="25">
        <f>D450+E450+F450</f>
        <v>0</v>
      </c>
      <c r="H450" s="24">
        <v>0</v>
      </c>
      <c r="I450" s="25">
        <v>0</v>
      </c>
      <c r="J450" s="25">
        <v>0</v>
      </c>
      <c r="K450" s="91">
        <f>G450+H450+I450+J450</f>
        <v>0</v>
      </c>
      <c r="L450" s="27">
        <v>0</v>
      </c>
      <c r="M450" s="27">
        <v>0</v>
      </c>
      <c r="N450" s="28">
        <f>K450+L450+M450</f>
        <v>0</v>
      </c>
    </row>
    <row r="451" spans="1:15" x14ac:dyDescent="0.25">
      <c r="A451" s="125" t="s">
        <v>442</v>
      </c>
      <c r="B451" s="88"/>
      <c r="C451" s="24">
        <v>696.25</v>
      </c>
      <c r="D451" s="24">
        <v>1200</v>
      </c>
      <c r="E451" s="25">
        <v>-500</v>
      </c>
      <c r="F451" s="25">
        <v>196.25</v>
      </c>
      <c r="G451" s="25">
        <f t="shared" ref="G451:G452" si="119">D451+E451+F451</f>
        <v>896.25</v>
      </c>
      <c r="H451" s="24">
        <v>0</v>
      </c>
      <c r="I451" s="25">
        <v>0</v>
      </c>
      <c r="J451" s="25">
        <v>0</v>
      </c>
      <c r="K451" s="91">
        <f t="shared" ref="K451:K452" si="120">G451+H451+I451+J451</f>
        <v>896.25</v>
      </c>
      <c r="L451" s="27">
        <v>-77.44</v>
      </c>
      <c r="M451" s="27">
        <v>0</v>
      </c>
      <c r="N451" s="28">
        <f t="shared" ref="N451:N452" si="121">K451+L451+M451</f>
        <v>818.81</v>
      </c>
    </row>
    <row r="452" spans="1:15" ht="25.5" customHeight="1" thickBot="1" x14ac:dyDescent="0.3">
      <c r="A452" s="29" t="s">
        <v>443</v>
      </c>
      <c r="B452" s="107"/>
      <c r="C452" s="32">
        <v>503.3</v>
      </c>
      <c r="D452" s="32">
        <v>0</v>
      </c>
      <c r="E452" s="33">
        <v>0</v>
      </c>
      <c r="F452" s="33">
        <v>0</v>
      </c>
      <c r="G452" s="25">
        <f t="shared" si="119"/>
        <v>0</v>
      </c>
      <c r="H452" s="32">
        <v>0</v>
      </c>
      <c r="I452" s="33">
        <v>0</v>
      </c>
      <c r="J452" s="33">
        <v>0</v>
      </c>
      <c r="K452" s="91">
        <f t="shared" si="120"/>
        <v>0</v>
      </c>
      <c r="L452" s="34">
        <v>70</v>
      </c>
      <c r="M452" s="34">
        <v>0</v>
      </c>
      <c r="N452" s="28">
        <f t="shared" si="121"/>
        <v>70</v>
      </c>
    </row>
    <row r="453" spans="1:15" x14ac:dyDescent="0.25">
      <c r="A453" s="165" t="s">
        <v>379</v>
      </c>
      <c r="B453" s="166"/>
      <c r="C453" s="167">
        <f>C455+C456</f>
        <v>180</v>
      </c>
      <c r="D453" s="167">
        <f>D455+D456</f>
        <v>1100</v>
      </c>
      <c r="E453" s="167">
        <f t="shared" ref="E453:F453" si="122">E455+E456</f>
        <v>0</v>
      </c>
      <c r="F453" s="167">
        <f t="shared" si="122"/>
        <v>0</v>
      </c>
      <c r="G453" s="168">
        <f>D453+E453+F453</f>
        <v>1100</v>
      </c>
      <c r="H453" s="167">
        <f>H455+H456</f>
        <v>0</v>
      </c>
      <c r="I453" s="167">
        <f>I455+I456</f>
        <v>0</v>
      </c>
      <c r="J453" s="167">
        <f>J455+J456</f>
        <v>0</v>
      </c>
      <c r="K453" s="169">
        <f>G453+H453+I453+J453</f>
        <v>1100</v>
      </c>
      <c r="L453" s="170">
        <f>L455+L456</f>
        <v>0</v>
      </c>
      <c r="M453" s="170">
        <f t="shared" ref="M453:N453" si="123">M455+M456</f>
        <v>0</v>
      </c>
      <c r="N453" s="171">
        <f t="shared" si="123"/>
        <v>1100</v>
      </c>
    </row>
    <row r="454" spans="1:15" x14ac:dyDescent="0.25">
      <c r="A454" s="125" t="s">
        <v>30</v>
      </c>
      <c r="B454" s="88"/>
      <c r="C454" s="24"/>
      <c r="D454" s="24"/>
      <c r="E454" s="25"/>
      <c r="F454" s="25"/>
      <c r="G454" s="25"/>
      <c r="H454" s="24"/>
      <c r="I454" s="25"/>
      <c r="J454" s="25"/>
      <c r="K454" s="91"/>
      <c r="L454" s="27"/>
      <c r="M454" s="27"/>
      <c r="N454" s="28"/>
    </row>
    <row r="455" spans="1:15" x14ac:dyDescent="0.25">
      <c r="A455" s="125" t="s">
        <v>444</v>
      </c>
      <c r="B455" s="88"/>
      <c r="C455" s="24">
        <v>0</v>
      </c>
      <c r="D455" s="24">
        <v>0</v>
      </c>
      <c r="E455" s="25">
        <v>0</v>
      </c>
      <c r="F455" s="25">
        <v>0</v>
      </c>
      <c r="G455" s="25">
        <f>D455+E455+F455</f>
        <v>0</v>
      </c>
      <c r="H455" s="24">
        <v>0</v>
      </c>
      <c r="I455" s="25">
        <v>0</v>
      </c>
      <c r="J455" s="25">
        <v>0</v>
      </c>
      <c r="K455" s="91">
        <f>G455+H455+I455+J455</f>
        <v>0</v>
      </c>
      <c r="L455" s="27">
        <f>+L456</f>
        <v>0</v>
      </c>
      <c r="M455" s="27">
        <v>0</v>
      </c>
      <c r="N455" s="28">
        <f>K455+L455+M455</f>
        <v>0</v>
      </c>
    </row>
    <row r="456" spans="1:15" ht="15.75" thickBot="1" x14ac:dyDescent="0.3">
      <c r="A456" s="120" t="s">
        <v>395</v>
      </c>
      <c r="B456" s="107"/>
      <c r="C456" s="32">
        <v>180</v>
      </c>
      <c r="D456" s="32">
        <v>1100</v>
      </c>
      <c r="E456" s="33">
        <v>0</v>
      </c>
      <c r="F456" s="33">
        <v>0</v>
      </c>
      <c r="G456" s="25">
        <f>D456+E456+F456</f>
        <v>1100</v>
      </c>
      <c r="H456" s="32">
        <v>0</v>
      </c>
      <c r="I456" s="33">
        <v>0</v>
      </c>
      <c r="J456" s="33">
        <v>0</v>
      </c>
      <c r="K456" s="91">
        <f>G456+H456+I456+J456</f>
        <v>1100</v>
      </c>
      <c r="L456" s="34">
        <v>0</v>
      </c>
      <c r="M456" s="34">
        <v>0</v>
      </c>
      <c r="N456" s="28">
        <f>K456+L456+M456</f>
        <v>1100</v>
      </c>
    </row>
    <row r="457" spans="1:15" ht="15.75" thickBot="1" x14ac:dyDescent="0.3">
      <c r="A457" s="121" t="s">
        <v>382</v>
      </c>
      <c r="B457" s="109"/>
      <c r="C457" s="126">
        <f>C459+C460</f>
        <v>11435</v>
      </c>
      <c r="D457" s="126">
        <f>D459+D460</f>
        <v>8137</v>
      </c>
      <c r="E457" s="126">
        <f t="shared" ref="E457" si="124">E459+E460</f>
        <v>163</v>
      </c>
      <c r="F457" s="126">
        <f>F459+F460</f>
        <v>1200</v>
      </c>
      <c r="G457" s="134">
        <f>D457+E457+F457</f>
        <v>9500</v>
      </c>
      <c r="H457" s="126">
        <f>H459+H460</f>
        <v>0</v>
      </c>
      <c r="I457" s="126">
        <f>I459+I460</f>
        <v>0</v>
      </c>
      <c r="J457" s="126">
        <f>J459+J460</f>
        <v>0</v>
      </c>
      <c r="K457" s="110">
        <f>G457+H457+I457+J457</f>
        <v>9500</v>
      </c>
      <c r="L457" s="112">
        <f>L459+L460</f>
        <v>-226</v>
      </c>
      <c r="M457" s="112">
        <f t="shared" ref="M457:N457" si="125">M459+M460</f>
        <v>0</v>
      </c>
      <c r="N457" s="111">
        <f t="shared" si="125"/>
        <v>9274</v>
      </c>
    </row>
    <row r="458" spans="1:15" x14ac:dyDescent="0.25">
      <c r="A458" s="155" t="s">
        <v>30</v>
      </c>
      <c r="B458" s="114"/>
      <c r="C458" s="15"/>
      <c r="D458" s="15"/>
      <c r="E458" s="16"/>
      <c r="F458" s="16"/>
      <c r="G458" s="16"/>
      <c r="H458" s="55"/>
      <c r="I458" s="56"/>
      <c r="J458" s="56"/>
      <c r="K458" s="26"/>
      <c r="L458" s="57"/>
      <c r="M458" s="57"/>
      <c r="N458" s="58"/>
      <c r="O458" s="39"/>
    </row>
    <row r="459" spans="1:15" x14ac:dyDescent="0.25">
      <c r="A459" s="125" t="s">
        <v>445</v>
      </c>
      <c r="B459" s="88"/>
      <c r="C459" s="24">
        <v>0</v>
      </c>
      <c r="D459" s="24">
        <v>0</v>
      </c>
      <c r="E459" s="25">
        <v>0</v>
      </c>
      <c r="F459" s="25">
        <v>0</v>
      </c>
      <c r="G459" s="25">
        <f>D459+E459+F459</f>
        <v>0</v>
      </c>
      <c r="H459" s="24">
        <v>0</v>
      </c>
      <c r="I459" s="25">
        <v>0</v>
      </c>
      <c r="J459" s="25">
        <v>0</v>
      </c>
      <c r="K459" s="91">
        <f>G459+H459+I459+J459</f>
        <v>0</v>
      </c>
      <c r="L459" s="27">
        <v>0</v>
      </c>
      <c r="M459" s="27">
        <v>0</v>
      </c>
      <c r="N459" s="28">
        <f>K459+L459+M459</f>
        <v>0</v>
      </c>
    </row>
    <row r="460" spans="1:15" ht="15.75" thickBot="1" x14ac:dyDescent="0.3">
      <c r="A460" s="120" t="s">
        <v>395</v>
      </c>
      <c r="B460" s="107"/>
      <c r="C460" s="32">
        <v>11435</v>
      </c>
      <c r="D460" s="32">
        <v>8137</v>
      </c>
      <c r="E460" s="33">
        <v>163</v>
      </c>
      <c r="F460" s="33">
        <v>1200</v>
      </c>
      <c r="G460" s="25">
        <f>D460+E460+F460</f>
        <v>9500</v>
      </c>
      <c r="H460" s="32">
        <v>0</v>
      </c>
      <c r="I460" s="33">
        <v>0</v>
      </c>
      <c r="J460" s="33">
        <v>0</v>
      </c>
      <c r="K460" s="91">
        <f>G460+H460+I460+J460</f>
        <v>9500</v>
      </c>
      <c r="L460" s="34">
        <f>-268-28+110-40</f>
        <v>-226</v>
      </c>
      <c r="M460" s="34">
        <v>0</v>
      </c>
      <c r="N460" s="28">
        <f>K460+L460+M460</f>
        <v>9274</v>
      </c>
    </row>
    <row r="461" spans="1:15" ht="15.75" thickBot="1" x14ac:dyDescent="0.3">
      <c r="A461" s="121" t="s">
        <v>385</v>
      </c>
      <c r="B461" s="109"/>
      <c r="C461" s="126">
        <f>C463+C464+C465</f>
        <v>600</v>
      </c>
      <c r="D461" s="126">
        <f>D463+D464+D465</f>
        <v>1650</v>
      </c>
      <c r="E461" s="126">
        <f t="shared" ref="E461:F461" si="126">E463+E464+E465</f>
        <v>0</v>
      </c>
      <c r="F461" s="126">
        <f t="shared" si="126"/>
        <v>0</v>
      </c>
      <c r="G461" s="134">
        <f>D461+E461+F461</f>
        <v>1650</v>
      </c>
      <c r="H461" s="126">
        <f>H463+H464+H465</f>
        <v>0</v>
      </c>
      <c r="I461" s="126">
        <f>I463+I464+I465</f>
        <v>0</v>
      </c>
      <c r="J461" s="126">
        <f>J463+J464+J465</f>
        <v>0</v>
      </c>
      <c r="K461" s="110">
        <f>G461+H461+I461+J461</f>
        <v>1650</v>
      </c>
      <c r="L461" s="172">
        <f>L463+L464+L465</f>
        <v>0</v>
      </c>
      <c r="M461" s="112">
        <f t="shared" ref="M461:N461" si="127">M463+M464+M465</f>
        <v>0</v>
      </c>
      <c r="N461" s="111">
        <f t="shared" si="127"/>
        <v>1650</v>
      </c>
    </row>
    <row r="462" spans="1:15" x14ac:dyDescent="0.25">
      <c r="A462" s="124" t="s">
        <v>30</v>
      </c>
      <c r="B462" s="93"/>
      <c r="C462" s="55"/>
      <c r="D462" s="55"/>
      <c r="E462" s="56"/>
      <c r="F462" s="56"/>
      <c r="G462" s="56"/>
      <c r="H462" s="55"/>
      <c r="I462" s="56"/>
      <c r="J462" s="56"/>
      <c r="K462" s="154"/>
      <c r="L462" s="57"/>
      <c r="M462" s="57"/>
      <c r="N462" s="58"/>
    </row>
    <row r="463" spans="1:15" ht="26.25" customHeight="1" x14ac:dyDescent="0.25">
      <c r="A463" s="20" t="s">
        <v>446</v>
      </c>
      <c r="B463" s="88"/>
      <c r="C463" s="24">
        <v>0</v>
      </c>
      <c r="D463" s="24">
        <v>0</v>
      </c>
      <c r="E463" s="25">
        <v>0</v>
      </c>
      <c r="F463" s="25">
        <v>0</v>
      </c>
      <c r="G463" s="25">
        <f>D463+E463+F463</f>
        <v>0</v>
      </c>
      <c r="H463" s="24">
        <v>0</v>
      </c>
      <c r="I463" s="25">
        <v>0</v>
      </c>
      <c r="J463" s="25">
        <v>0</v>
      </c>
      <c r="K463" s="91">
        <f>G463+H463+I463+J463</f>
        <v>0</v>
      </c>
      <c r="L463" s="27">
        <v>0</v>
      </c>
      <c r="M463" s="27">
        <v>0</v>
      </c>
      <c r="N463" s="28">
        <f>K463+L463+M463</f>
        <v>0</v>
      </c>
    </row>
    <row r="464" spans="1:15" x14ac:dyDescent="0.25">
      <c r="A464" s="124" t="s">
        <v>395</v>
      </c>
      <c r="B464" s="93"/>
      <c r="C464" s="55">
        <v>0</v>
      </c>
      <c r="D464" s="55">
        <v>900</v>
      </c>
      <c r="E464" s="56">
        <v>0</v>
      </c>
      <c r="F464" s="56">
        <v>0</v>
      </c>
      <c r="G464" s="25">
        <f t="shared" ref="G464:G465" si="128">D464+E464+F464</f>
        <v>900</v>
      </c>
      <c r="H464" s="24">
        <v>0</v>
      </c>
      <c r="I464" s="25">
        <v>0</v>
      </c>
      <c r="J464" s="25">
        <v>0</v>
      </c>
      <c r="K464" s="91">
        <f t="shared" ref="K464:K465" si="129">G464+H464+I464+J464</f>
        <v>900</v>
      </c>
      <c r="L464" s="27">
        <v>0</v>
      </c>
      <c r="M464" s="27">
        <v>0</v>
      </c>
      <c r="N464" s="28">
        <f t="shared" ref="N464:N465" si="130">K464+L464+M464</f>
        <v>900</v>
      </c>
    </row>
    <row r="465" spans="1:15" ht="26.25" thickBot="1" x14ac:dyDescent="0.3">
      <c r="A465" s="29" t="s">
        <v>447</v>
      </c>
      <c r="B465" s="107" t="s">
        <v>79</v>
      </c>
      <c r="C465" s="32">
        <v>600</v>
      </c>
      <c r="D465" s="32">
        <v>750</v>
      </c>
      <c r="E465" s="33">
        <v>0</v>
      </c>
      <c r="F465" s="33">
        <v>0</v>
      </c>
      <c r="G465" s="33">
        <f t="shared" si="128"/>
        <v>750</v>
      </c>
      <c r="H465" s="32">
        <v>0</v>
      </c>
      <c r="I465" s="33">
        <v>0</v>
      </c>
      <c r="J465" s="33">
        <v>0</v>
      </c>
      <c r="K465" s="91">
        <f t="shared" si="129"/>
        <v>750</v>
      </c>
      <c r="L465" s="34">
        <v>0</v>
      </c>
      <c r="M465" s="34">
        <v>0</v>
      </c>
      <c r="N465" s="28">
        <f t="shared" si="130"/>
        <v>750</v>
      </c>
    </row>
    <row r="466" spans="1:15" ht="15.75" thickBot="1" x14ac:dyDescent="0.3">
      <c r="A466" s="136" t="s">
        <v>448</v>
      </c>
      <c r="B466" s="137"/>
      <c r="C466" s="138" t="e">
        <f t="shared" ref="C466:N466" si="131">C373+C376+C382+C391+C398+C402+C414+C419+C427+C431+C442+C448+C453+C457+C461</f>
        <v>#REF!</v>
      </c>
      <c r="D466" s="138">
        <f t="shared" si="131"/>
        <v>263363.78000000003</v>
      </c>
      <c r="E466" s="138">
        <f t="shared" si="131"/>
        <v>2239.8000000000002</v>
      </c>
      <c r="F466" s="138">
        <f t="shared" si="131"/>
        <v>63863.08</v>
      </c>
      <c r="G466" s="138">
        <f t="shared" si="131"/>
        <v>325984.79000000004</v>
      </c>
      <c r="H466" s="138">
        <f t="shared" si="131"/>
        <v>5210.25</v>
      </c>
      <c r="I466" s="138">
        <f t="shared" si="131"/>
        <v>500</v>
      </c>
      <c r="J466" s="138">
        <f t="shared" si="131"/>
        <v>41384</v>
      </c>
      <c r="K466" s="139">
        <f t="shared" si="131"/>
        <v>373079.04000000004</v>
      </c>
      <c r="L466" s="139">
        <f t="shared" si="131"/>
        <v>-1488.3400000000001</v>
      </c>
      <c r="M466" s="139">
        <f t="shared" si="131"/>
        <v>3233</v>
      </c>
      <c r="N466" s="140">
        <f t="shared" si="131"/>
        <v>374823.7</v>
      </c>
      <c r="O466" s="39"/>
    </row>
    <row r="467" spans="1:15" ht="16.5" thickBot="1" x14ac:dyDescent="0.3">
      <c r="A467" s="173" t="s">
        <v>449</v>
      </c>
      <c r="B467" s="174"/>
      <c r="C467" s="175" t="e">
        <f t="shared" ref="C467:N467" si="132">C370+C466</f>
        <v>#REF!</v>
      </c>
      <c r="D467" s="175">
        <f t="shared" si="132"/>
        <v>1248236.6300000001</v>
      </c>
      <c r="E467" s="175">
        <f t="shared" si="132"/>
        <v>14404.57</v>
      </c>
      <c r="F467" s="176">
        <f t="shared" si="132"/>
        <v>128310.82</v>
      </c>
      <c r="G467" s="176">
        <f t="shared" si="132"/>
        <v>1427414.72</v>
      </c>
      <c r="H467" s="176">
        <f t="shared" si="132"/>
        <v>15655.75</v>
      </c>
      <c r="I467" s="176">
        <f t="shared" si="132"/>
        <v>0</v>
      </c>
      <c r="J467" s="176">
        <f t="shared" si="132"/>
        <v>42786.2</v>
      </c>
      <c r="K467" s="176">
        <f t="shared" si="132"/>
        <v>1485856.6700000004</v>
      </c>
      <c r="L467" s="176">
        <f t="shared" si="132"/>
        <v>15170.740000000002</v>
      </c>
      <c r="M467" s="176">
        <f t="shared" si="132"/>
        <v>28929.31</v>
      </c>
      <c r="N467" s="177">
        <f t="shared" si="132"/>
        <v>1529848.72</v>
      </c>
      <c r="O467" s="39"/>
    </row>
    <row r="468" spans="1:15" ht="15.75" customHeight="1" thickBot="1" x14ac:dyDescent="0.3">
      <c r="A468" s="178"/>
      <c r="B468" s="179"/>
      <c r="C468" s="180"/>
      <c r="D468" s="180"/>
      <c r="E468" s="180"/>
      <c r="F468" s="180"/>
      <c r="G468" s="180"/>
      <c r="H468" s="180"/>
      <c r="I468" s="180"/>
      <c r="J468" s="181"/>
      <c r="K468" s="182"/>
      <c r="L468" s="43"/>
      <c r="M468" s="43"/>
      <c r="N468" s="45"/>
    </row>
    <row r="469" spans="1:15" ht="15.75" thickBot="1" x14ac:dyDescent="0.3">
      <c r="A469" s="183" t="s">
        <v>450</v>
      </c>
      <c r="B469" s="184"/>
      <c r="C469" s="185"/>
      <c r="D469" s="185"/>
      <c r="E469" s="186"/>
      <c r="F469" s="186"/>
      <c r="G469" s="186"/>
      <c r="H469" s="187"/>
      <c r="I469" s="188"/>
      <c r="J469" s="188"/>
      <c r="K469" s="189"/>
      <c r="L469" s="49"/>
      <c r="M469" s="49"/>
      <c r="N469" s="51"/>
    </row>
    <row r="470" spans="1:15" x14ac:dyDescent="0.25">
      <c r="A470" s="52" t="s">
        <v>451</v>
      </c>
      <c r="B470" s="93"/>
      <c r="C470" s="53">
        <v>5120</v>
      </c>
      <c r="D470" s="53">
        <v>5950</v>
      </c>
      <c r="E470" s="23">
        <v>0</v>
      </c>
      <c r="F470" s="23">
        <v>953</v>
      </c>
      <c r="G470" s="23">
        <f>D470+E470+F470</f>
        <v>6903</v>
      </c>
      <c r="H470" s="55">
        <v>0</v>
      </c>
      <c r="I470" s="56">
        <v>0</v>
      </c>
      <c r="J470" s="56">
        <v>0</v>
      </c>
      <c r="K470" s="26">
        <f>G470+H470</f>
        <v>6903</v>
      </c>
      <c r="L470" s="57">
        <v>0</v>
      </c>
      <c r="M470" s="57">
        <v>0</v>
      </c>
      <c r="N470" s="58">
        <f>K470+L470+M470</f>
        <v>6903</v>
      </c>
    </row>
    <row r="471" spans="1:15" x14ac:dyDescent="0.25">
      <c r="A471" s="20" t="s">
        <v>452</v>
      </c>
      <c r="B471" s="88"/>
      <c r="C471" s="21">
        <v>157</v>
      </c>
      <c r="D471" s="21">
        <v>0</v>
      </c>
      <c r="E471" s="22">
        <v>0</v>
      </c>
      <c r="F471" s="22">
        <v>0</v>
      </c>
      <c r="G471" s="23">
        <f t="shared" ref="G471:G477" si="133">D471+E471+F471</f>
        <v>0</v>
      </c>
      <c r="H471" s="24">
        <v>0</v>
      </c>
      <c r="I471" s="56">
        <v>0</v>
      </c>
      <c r="J471" s="56">
        <v>0</v>
      </c>
      <c r="K471" s="26">
        <f t="shared" ref="K471:K477" si="134">G471+H471</f>
        <v>0</v>
      </c>
      <c r="L471" s="27">
        <v>0</v>
      </c>
      <c r="M471" s="27">
        <v>0</v>
      </c>
      <c r="N471" s="28">
        <f>K471+L471+M471</f>
        <v>0</v>
      </c>
    </row>
    <row r="472" spans="1:15" ht="25.5" customHeight="1" x14ac:dyDescent="0.25">
      <c r="A472" s="20" t="s">
        <v>453</v>
      </c>
      <c r="B472" s="88"/>
      <c r="C472" s="21">
        <v>0</v>
      </c>
      <c r="D472" s="21">
        <v>0</v>
      </c>
      <c r="E472" s="22">
        <v>0</v>
      </c>
      <c r="F472" s="22">
        <v>0</v>
      </c>
      <c r="G472" s="22">
        <f t="shared" si="133"/>
        <v>0</v>
      </c>
      <c r="H472" s="24">
        <v>0</v>
      </c>
      <c r="I472" s="25">
        <v>0</v>
      </c>
      <c r="J472" s="25">
        <v>0</v>
      </c>
      <c r="K472" s="91">
        <f t="shared" si="134"/>
        <v>0</v>
      </c>
      <c r="L472" s="27">
        <v>0</v>
      </c>
      <c r="M472" s="27">
        <v>0</v>
      </c>
      <c r="N472" s="28">
        <f t="shared" ref="N472:N477" si="135">K472+L472+M472</f>
        <v>0</v>
      </c>
    </row>
    <row r="473" spans="1:15" ht="25.5" customHeight="1" x14ac:dyDescent="0.25">
      <c r="A473" s="20" t="s">
        <v>454</v>
      </c>
      <c r="B473" s="88"/>
      <c r="C473" s="21">
        <v>0</v>
      </c>
      <c r="D473" s="21">
        <v>0</v>
      </c>
      <c r="E473" s="22">
        <v>0</v>
      </c>
      <c r="F473" s="22">
        <v>0</v>
      </c>
      <c r="G473" s="22">
        <f t="shared" si="133"/>
        <v>0</v>
      </c>
      <c r="H473" s="24">
        <v>0</v>
      </c>
      <c r="I473" s="25">
        <v>0</v>
      </c>
      <c r="J473" s="25">
        <v>0</v>
      </c>
      <c r="K473" s="91">
        <f t="shared" si="134"/>
        <v>0</v>
      </c>
      <c r="L473" s="27">
        <v>0</v>
      </c>
      <c r="M473" s="27">
        <v>0</v>
      </c>
      <c r="N473" s="28">
        <f t="shared" si="135"/>
        <v>0</v>
      </c>
    </row>
    <row r="474" spans="1:15" x14ac:dyDescent="0.25">
      <c r="A474" s="20" t="s">
        <v>455</v>
      </c>
      <c r="B474" s="88"/>
      <c r="C474" s="21">
        <v>3200</v>
      </c>
      <c r="D474" s="21">
        <v>3200</v>
      </c>
      <c r="E474" s="22">
        <v>0</v>
      </c>
      <c r="F474" s="22">
        <f>-3200+3200</f>
        <v>0</v>
      </c>
      <c r="G474" s="23">
        <f t="shared" si="133"/>
        <v>3200</v>
      </c>
      <c r="H474" s="24">
        <v>0</v>
      </c>
      <c r="I474" s="56">
        <v>0</v>
      </c>
      <c r="J474" s="56">
        <v>0</v>
      </c>
      <c r="K474" s="26">
        <f t="shared" si="134"/>
        <v>3200</v>
      </c>
      <c r="L474" s="27">
        <v>0</v>
      </c>
      <c r="M474" s="27">
        <v>0</v>
      </c>
      <c r="N474" s="28">
        <f t="shared" si="135"/>
        <v>3200</v>
      </c>
    </row>
    <row r="475" spans="1:15" x14ac:dyDescent="0.25">
      <c r="A475" s="20" t="s">
        <v>456</v>
      </c>
      <c r="B475" s="88"/>
      <c r="C475" s="21">
        <v>0</v>
      </c>
      <c r="D475" s="21">
        <v>0</v>
      </c>
      <c r="E475" s="22">
        <v>0</v>
      </c>
      <c r="F475" s="22">
        <v>0</v>
      </c>
      <c r="G475" s="23">
        <f t="shared" si="133"/>
        <v>0</v>
      </c>
      <c r="H475" s="24">
        <v>0</v>
      </c>
      <c r="I475" s="56">
        <v>0</v>
      </c>
      <c r="J475" s="56">
        <v>0</v>
      </c>
      <c r="K475" s="26">
        <f t="shared" si="134"/>
        <v>0</v>
      </c>
      <c r="L475" s="27">
        <v>0</v>
      </c>
      <c r="M475" s="27">
        <v>0</v>
      </c>
      <c r="N475" s="28">
        <f t="shared" si="135"/>
        <v>0</v>
      </c>
    </row>
    <row r="476" spans="1:15" x14ac:dyDescent="0.25">
      <c r="A476" s="20" t="s">
        <v>457</v>
      </c>
      <c r="B476" s="88"/>
      <c r="C476" s="21">
        <v>0</v>
      </c>
      <c r="D476" s="21">
        <v>0</v>
      </c>
      <c r="E476" s="22">
        <v>0</v>
      </c>
      <c r="F476" s="22">
        <v>0</v>
      </c>
      <c r="G476" s="23">
        <f t="shared" si="133"/>
        <v>0</v>
      </c>
      <c r="H476" s="24">
        <v>0</v>
      </c>
      <c r="I476" s="56">
        <v>0</v>
      </c>
      <c r="J476" s="56">
        <v>0</v>
      </c>
      <c r="K476" s="26">
        <f t="shared" si="134"/>
        <v>0</v>
      </c>
      <c r="L476" s="27">
        <v>0</v>
      </c>
      <c r="M476" s="27">
        <v>0</v>
      </c>
      <c r="N476" s="28">
        <f t="shared" si="135"/>
        <v>0</v>
      </c>
    </row>
    <row r="477" spans="1:15" x14ac:dyDescent="0.25">
      <c r="A477" s="20" t="s">
        <v>458</v>
      </c>
      <c r="B477" s="88"/>
      <c r="C477" s="21">
        <v>60000.02</v>
      </c>
      <c r="D477" s="21">
        <v>65360.02</v>
      </c>
      <c r="E477" s="22">
        <v>0</v>
      </c>
      <c r="F477" s="22">
        <v>13603</v>
      </c>
      <c r="G477" s="22">
        <f t="shared" si="133"/>
        <v>78963.01999999999</v>
      </c>
      <c r="H477" s="24">
        <v>0</v>
      </c>
      <c r="I477" s="25">
        <v>0</v>
      </c>
      <c r="J477" s="25">
        <v>0</v>
      </c>
      <c r="K477" s="91">
        <f t="shared" si="134"/>
        <v>78963.01999999999</v>
      </c>
      <c r="L477" s="27">
        <v>0</v>
      </c>
      <c r="M477" s="27">
        <v>0</v>
      </c>
      <c r="N477" s="28">
        <f t="shared" si="135"/>
        <v>78963.01999999999</v>
      </c>
    </row>
    <row r="478" spans="1:15" ht="15.75" thickBot="1" x14ac:dyDescent="0.3">
      <c r="A478" s="209" t="s">
        <v>459</v>
      </c>
      <c r="B478" s="210"/>
      <c r="C478" s="211">
        <f>C470+C471+C472+C473+C474+C475+C476+C477</f>
        <v>68477.01999999999</v>
      </c>
      <c r="D478" s="211">
        <f>D470+D471+D472+D473+D474+D475+D476+D477</f>
        <v>74510.01999999999</v>
      </c>
      <c r="E478" s="211">
        <f t="shared" ref="E478:N478" si="136">E470+E471+E472+E473+E474+E475+E476+E477</f>
        <v>0</v>
      </c>
      <c r="F478" s="211">
        <f t="shared" si="136"/>
        <v>14556</v>
      </c>
      <c r="G478" s="212">
        <f t="shared" si="136"/>
        <v>89066.01999999999</v>
      </c>
      <c r="H478" s="212">
        <f t="shared" si="136"/>
        <v>0</v>
      </c>
      <c r="I478" s="212">
        <f t="shared" si="136"/>
        <v>0</v>
      </c>
      <c r="J478" s="212">
        <f t="shared" si="136"/>
        <v>0</v>
      </c>
      <c r="K478" s="212">
        <f t="shared" si="136"/>
        <v>89066.01999999999</v>
      </c>
      <c r="L478" s="212">
        <f t="shared" si="136"/>
        <v>0</v>
      </c>
      <c r="M478" s="212">
        <f t="shared" si="136"/>
        <v>0</v>
      </c>
      <c r="N478" s="213">
        <f t="shared" si="136"/>
        <v>89066.01999999999</v>
      </c>
    </row>
    <row r="479" spans="1:15" ht="16.5" thickBot="1" x14ac:dyDescent="0.3">
      <c r="A479" s="64" t="s">
        <v>460</v>
      </c>
      <c r="B479" s="190"/>
      <c r="C479" s="65" t="e">
        <f t="shared" ref="C479:N479" si="137">C467+C478</f>
        <v>#REF!</v>
      </c>
      <c r="D479" s="65">
        <f t="shared" si="137"/>
        <v>1322746.6500000001</v>
      </c>
      <c r="E479" s="65">
        <f t="shared" si="137"/>
        <v>14404.57</v>
      </c>
      <c r="F479" s="65">
        <f t="shared" si="137"/>
        <v>142866.82</v>
      </c>
      <c r="G479" s="66">
        <f t="shared" si="137"/>
        <v>1516480.74</v>
      </c>
      <c r="H479" s="66">
        <f t="shared" si="137"/>
        <v>15655.75</v>
      </c>
      <c r="I479" s="66">
        <f t="shared" si="137"/>
        <v>0</v>
      </c>
      <c r="J479" s="66">
        <f t="shared" si="137"/>
        <v>42786.2</v>
      </c>
      <c r="K479" s="66">
        <f t="shared" si="137"/>
        <v>1574922.6900000004</v>
      </c>
      <c r="L479" s="66">
        <f t="shared" si="137"/>
        <v>15170.740000000002</v>
      </c>
      <c r="M479" s="66">
        <f t="shared" si="137"/>
        <v>28929.31</v>
      </c>
      <c r="N479" s="67">
        <f t="shared" si="137"/>
        <v>1618914.74</v>
      </c>
      <c r="O479" s="39"/>
    </row>
    <row r="480" spans="1:15" x14ac:dyDescent="0.25">
      <c r="A480" s="191"/>
      <c r="B480" s="192"/>
      <c r="C480" s="192"/>
      <c r="D480" s="192"/>
      <c r="E480" s="192"/>
      <c r="F480" s="192"/>
      <c r="G480" s="192"/>
      <c r="H480" s="193"/>
      <c r="I480" s="193"/>
      <c r="J480" s="193"/>
      <c r="K480" s="194"/>
      <c r="L480" s="195"/>
      <c r="M480" s="194"/>
      <c r="N480" s="195"/>
    </row>
    <row r="481" spans="1:14" x14ac:dyDescent="0.25">
      <c r="A481" s="191"/>
      <c r="B481" s="192"/>
      <c r="C481" s="192"/>
      <c r="D481" s="192"/>
      <c r="E481" s="192"/>
      <c r="F481" s="192"/>
      <c r="G481" s="192"/>
      <c r="H481" s="193"/>
      <c r="I481" s="193"/>
      <c r="J481" s="193"/>
      <c r="K481" s="194"/>
      <c r="L481" s="195"/>
      <c r="M481" s="195"/>
      <c r="N481" s="195"/>
    </row>
    <row r="482" spans="1:14" ht="23.25" customHeight="1" x14ac:dyDescent="0.25">
      <c r="A482" s="214"/>
      <c r="B482" s="214"/>
      <c r="C482" s="214"/>
      <c r="D482" s="214"/>
      <c r="E482" s="214"/>
      <c r="F482" s="214"/>
      <c r="G482" s="214"/>
      <c r="H482" s="193"/>
      <c r="I482" s="193"/>
      <c r="J482" s="193"/>
      <c r="K482" s="194"/>
      <c r="L482" s="195"/>
      <c r="M482" s="195"/>
      <c r="N482" s="195"/>
    </row>
    <row r="483" spans="1:14" x14ac:dyDescent="0.25">
      <c r="A483" s="191"/>
      <c r="B483" s="192"/>
      <c r="C483" s="192"/>
      <c r="D483" s="192"/>
      <c r="E483" s="192"/>
      <c r="F483" s="192"/>
      <c r="G483" s="192"/>
      <c r="H483" s="193"/>
      <c r="I483" s="193"/>
      <c r="J483" s="193"/>
      <c r="K483" s="194"/>
      <c r="L483" s="195"/>
      <c r="M483" s="195"/>
      <c r="N483" s="195"/>
    </row>
    <row r="484" spans="1:14" x14ac:dyDescent="0.25">
      <c r="A484" s="191"/>
      <c r="B484" s="192"/>
      <c r="C484" s="192"/>
      <c r="D484" s="192"/>
      <c r="E484" s="192"/>
      <c r="F484" s="192"/>
      <c r="G484" s="192"/>
      <c r="H484" s="193"/>
      <c r="I484" s="193"/>
      <c r="J484" s="193"/>
      <c r="K484" s="194"/>
      <c r="L484" s="195"/>
      <c r="M484" s="195"/>
      <c r="N484" s="195"/>
    </row>
    <row r="485" spans="1:14" x14ac:dyDescent="0.25">
      <c r="A485" s="191"/>
      <c r="B485" s="192"/>
      <c r="C485" s="192"/>
      <c r="D485" s="192"/>
      <c r="E485" s="192"/>
      <c r="F485" s="192"/>
      <c r="G485" s="192"/>
      <c r="H485" s="193"/>
      <c r="I485" s="193"/>
      <c r="J485" s="193"/>
      <c r="K485" s="194"/>
      <c r="L485" s="195"/>
      <c r="M485" s="195"/>
      <c r="N485" s="195"/>
    </row>
    <row r="486" spans="1:14" x14ac:dyDescent="0.25">
      <c r="A486" s="191"/>
      <c r="B486" s="192"/>
      <c r="C486" s="192"/>
      <c r="D486" s="192"/>
      <c r="E486" s="192"/>
      <c r="F486" s="192"/>
      <c r="G486" s="192"/>
      <c r="H486" s="192"/>
      <c r="I486" s="192"/>
      <c r="J486" s="192"/>
      <c r="K486" s="194"/>
      <c r="L486" s="195"/>
      <c r="M486" s="195"/>
      <c r="N486" s="195"/>
    </row>
    <row r="487" spans="1:14" x14ac:dyDescent="0.25">
      <c r="A487" s="191"/>
      <c r="B487" s="192"/>
      <c r="C487" s="192"/>
      <c r="D487" s="192"/>
      <c r="E487" s="192"/>
      <c r="F487" s="192"/>
      <c r="G487" s="192"/>
      <c r="H487" s="192"/>
      <c r="I487" s="192"/>
      <c r="J487" s="192"/>
      <c r="K487" s="194"/>
      <c r="L487" s="195"/>
      <c r="M487" s="195"/>
      <c r="N487" s="195"/>
    </row>
    <row r="488" spans="1:14" x14ac:dyDescent="0.25">
      <c r="A488" s="191"/>
      <c r="B488" s="192"/>
      <c r="C488" s="192"/>
      <c r="D488" s="192"/>
      <c r="E488" s="192"/>
      <c r="F488" s="192"/>
      <c r="G488" s="192"/>
      <c r="H488" s="192"/>
      <c r="I488" s="192"/>
      <c r="J488" s="192"/>
      <c r="K488" s="194"/>
      <c r="L488" s="195"/>
      <c r="M488" s="195"/>
      <c r="N488" s="195"/>
    </row>
    <row r="489" spans="1:14" x14ac:dyDescent="0.25">
      <c r="A489" s="191"/>
      <c r="B489" s="192"/>
      <c r="C489" s="192"/>
      <c r="D489" s="192"/>
      <c r="E489" s="192"/>
      <c r="F489" s="192"/>
      <c r="G489" s="192"/>
      <c r="H489" s="192"/>
      <c r="I489" s="192"/>
      <c r="J489" s="192"/>
      <c r="K489" s="194"/>
      <c r="L489" s="195"/>
      <c r="M489" s="195"/>
      <c r="N489" s="195"/>
    </row>
    <row r="490" spans="1:14" x14ac:dyDescent="0.25">
      <c r="A490" s="191"/>
      <c r="B490" s="192"/>
      <c r="C490" s="192"/>
      <c r="D490" s="192"/>
      <c r="E490" s="192"/>
      <c r="F490" s="192"/>
      <c r="G490" s="192"/>
      <c r="H490" s="192"/>
      <c r="I490" s="192"/>
      <c r="J490" s="192"/>
      <c r="K490" s="194"/>
      <c r="L490" s="195"/>
      <c r="M490" s="195"/>
      <c r="N490" s="195"/>
    </row>
    <row r="491" spans="1:14" x14ac:dyDescent="0.25">
      <c r="A491" s="191"/>
      <c r="B491" s="192"/>
      <c r="C491" s="192"/>
      <c r="D491" s="192"/>
      <c r="E491" s="192"/>
      <c r="F491" s="192"/>
      <c r="G491" s="192"/>
      <c r="H491" s="192"/>
      <c r="I491" s="192"/>
      <c r="J491" s="192"/>
      <c r="K491" s="194"/>
      <c r="L491" s="195"/>
      <c r="M491" s="195"/>
      <c r="N491" s="195"/>
    </row>
    <row r="492" spans="1:14" x14ac:dyDescent="0.25">
      <c r="A492" s="191"/>
      <c r="B492" s="192"/>
      <c r="C492" s="192"/>
      <c r="D492" s="192"/>
      <c r="E492" s="192"/>
      <c r="F492" s="192"/>
      <c r="G492" s="192"/>
      <c r="H492" s="192"/>
      <c r="I492" s="192"/>
      <c r="J492" s="192"/>
      <c r="K492" s="194"/>
      <c r="L492" s="195"/>
      <c r="M492" s="195"/>
      <c r="N492" s="195"/>
    </row>
    <row r="493" spans="1:14" x14ac:dyDescent="0.25">
      <c r="A493" s="191"/>
      <c r="B493" s="192"/>
      <c r="C493" s="192"/>
      <c r="D493" s="192"/>
      <c r="E493" s="192"/>
      <c r="F493" s="192"/>
      <c r="G493" s="192"/>
      <c r="H493" s="192"/>
      <c r="I493" s="192"/>
      <c r="J493" s="192"/>
      <c r="K493" s="194"/>
      <c r="L493" s="195"/>
      <c r="M493" s="195"/>
      <c r="N493" s="195"/>
    </row>
    <row r="494" spans="1:14" x14ac:dyDescent="0.25">
      <c r="A494" s="191"/>
      <c r="B494" s="192"/>
      <c r="C494" s="192"/>
      <c r="D494" s="192"/>
      <c r="E494" s="192"/>
      <c r="F494" s="192"/>
      <c r="G494" s="192"/>
      <c r="H494" s="192"/>
      <c r="I494" s="192"/>
      <c r="J494" s="192"/>
      <c r="K494" s="194"/>
      <c r="L494" s="195"/>
      <c r="M494" s="195"/>
      <c r="N494" s="195"/>
    </row>
    <row r="495" spans="1:14" x14ac:dyDescent="0.25">
      <c r="A495" s="191"/>
      <c r="B495" s="192"/>
      <c r="C495" s="192"/>
      <c r="D495" s="192"/>
      <c r="E495" s="192"/>
      <c r="F495" s="192"/>
      <c r="G495" s="192"/>
      <c r="H495" s="192"/>
      <c r="I495" s="192"/>
      <c r="J495" s="192"/>
      <c r="K495" s="194"/>
    </row>
    <row r="496" spans="1:14" x14ac:dyDescent="0.25">
      <c r="A496" s="191"/>
      <c r="B496" s="192"/>
      <c r="C496" s="192"/>
      <c r="D496" s="192"/>
      <c r="E496" s="192"/>
      <c r="F496" s="192"/>
      <c r="G496" s="192"/>
      <c r="H496" s="192"/>
      <c r="I496" s="192"/>
      <c r="J496" s="192"/>
      <c r="K496" s="194"/>
    </row>
    <row r="497" spans="1:11" x14ac:dyDescent="0.25">
      <c r="A497" s="191"/>
      <c r="B497" s="192"/>
      <c r="C497" s="192"/>
      <c r="D497" s="192"/>
      <c r="E497" s="192"/>
      <c r="F497" s="192"/>
      <c r="G497" s="192"/>
      <c r="H497" s="192"/>
      <c r="I497" s="192"/>
      <c r="J497" s="192"/>
      <c r="K497" s="194"/>
    </row>
    <row r="498" spans="1:11" x14ac:dyDescent="0.25">
      <c r="A498" s="191"/>
      <c r="B498" s="192"/>
      <c r="C498" s="192"/>
      <c r="D498" s="192"/>
      <c r="E498" s="192"/>
      <c r="F498" s="192"/>
      <c r="G498" s="192"/>
      <c r="H498" s="192"/>
      <c r="I498" s="192"/>
      <c r="J498" s="192"/>
      <c r="K498" s="194"/>
    </row>
    <row r="499" spans="1:11" x14ac:dyDescent="0.25">
      <c r="A499" s="191"/>
      <c r="B499" s="192"/>
      <c r="C499" s="192"/>
      <c r="D499" s="192"/>
      <c r="E499" s="192"/>
      <c r="F499" s="192"/>
      <c r="G499" s="192"/>
      <c r="H499" s="192"/>
      <c r="I499" s="192"/>
      <c r="J499" s="192"/>
      <c r="K499" s="194"/>
    </row>
    <row r="500" spans="1:11" x14ac:dyDescent="0.25">
      <c r="A500" s="191"/>
      <c r="B500" s="192"/>
      <c r="C500" s="192"/>
      <c r="D500" s="192"/>
      <c r="E500" s="192"/>
      <c r="F500" s="192"/>
      <c r="G500" s="192"/>
      <c r="H500" s="192"/>
      <c r="I500" s="192"/>
      <c r="J500" s="192"/>
      <c r="K500" s="194"/>
    </row>
    <row r="501" spans="1:11" x14ac:dyDescent="0.25">
      <c r="A501" s="191"/>
      <c r="B501" s="192"/>
      <c r="C501" s="192"/>
      <c r="D501" s="192"/>
      <c r="E501" s="192"/>
      <c r="F501" s="192"/>
      <c r="G501" s="192"/>
      <c r="H501" s="192"/>
      <c r="I501" s="192"/>
      <c r="J501" s="192"/>
      <c r="K501" s="194"/>
    </row>
    <row r="502" spans="1:11" x14ac:dyDescent="0.25">
      <c r="A502" s="191"/>
      <c r="B502" s="192"/>
      <c r="C502" s="192"/>
      <c r="D502" s="192"/>
      <c r="E502" s="192"/>
      <c r="F502" s="192"/>
      <c r="G502" s="192"/>
      <c r="H502" s="192"/>
      <c r="I502" s="192"/>
      <c r="J502" s="192"/>
      <c r="K502" s="194"/>
    </row>
    <row r="503" spans="1:11" x14ac:dyDescent="0.25">
      <c r="A503" s="191"/>
      <c r="B503" s="192"/>
      <c r="C503" s="192"/>
      <c r="D503" s="192"/>
      <c r="E503" s="192"/>
      <c r="F503" s="192"/>
      <c r="G503" s="192"/>
      <c r="H503" s="192"/>
      <c r="I503" s="192"/>
      <c r="J503" s="192"/>
      <c r="K503" s="194"/>
    </row>
    <row r="504" spans="1:11" x14ac:dyDescent="0.25">
      <c r="A504" s="191"/>
      <c r="B504" s="192"/>
      <c r="C504" s="192"/>
      <c r="D504" s="192"/>
      <c r="E504" s="192"/>
      <c r="F504" s="192"/>
      <c r="G504" s="192"/>
      <c r="H504" s="192"/>
      <c r="I504" s="192"/>
      <c r="J504" s="192"/>
      <c r="K504" s="194"/>
    </row>
    <row r="505" spans="1:11" x14ac:dyDescent="0.25">
      <c r="A505" s="191"/>
      <c r="B505" s="192"/>
      <c r="C505" s="192"/>
      <c r="D505" s="192"/>
      <c r="E505" s="192"/>
      <c r="F505" s="192"/>
      <c r="G505" s="192"/>
      <c r="H505" s="192"/>
      <c r="I505" s="192"/>
      <c r="J505" s="192"/>
      <c r="K505" s="195"/>
    </row>
    <row r="506" spans="1:11" x14ac:dyDescent="0.25">
      <c r="A506" s="191"/>
      <c r="B506" s="192"/>
      <c r="C506" s="192"/>
      <c r="D506" s="192"/>
      <c r="E506" s="192"/>
      <c r="F506" s="192"/>
      <c r="G506" s="192"/>
      <c r="H506" s="192"/>
      <c r="I506" s="192"/>
      <c r="J506" s="192"/>
      <c r="K506" s="195"/>
    </row>
    <row r="507" spans="1:11" x14ac:dyDescent="0.25">
      <c r="A507" s="191"/>
      <c r="B507" s="192"/>
      <c r="C507" s="192"/>
      <c r="D507" s="192"/>
      <c r="E507" s="192"/>
      <c r="F507" s="192"/>
      <c r="G507" s="192"/>
      <c r="H507" s="192"/>
      <c r="I507" s="192"/>
      <c r="J507" s="192"/>
      <c r="K507" s="195"/>
    </row>
    <row r="508" spans="1:11" x14ac:dyDescent="0.25">
      <c r="A508" s="191"/>
      <c r="B508" s="192"/>
      <c r="C508" s="192"/>
      <c r="D508" s="192"/>
      <c r="E508" s="192"/>
      <c r="F508" s="192"/>
      <c r="G508" s="192"/>
      <c r="H508" s="192"/>
      <c r="I508" s="192"/>
      <c r="J508" s="192"/>
      <c r="K508" s="195"/>
    </row>
    <row r="509" spans="1:11" x14ac:dyDescent="0.25">
      <c r="A509" s="191"/>
      <c r="B509" s="192"/>
      <c r="C509" s="192"/>
      <c r="D509" s="192"/>
      <c r="E509" s="192"/>
      <c r="F509" s="192"/>
      <c r="G509" s="192"/>
      <c r="H509" s="192"/>
      <c r="I509" s="192"/>
      <c r="J509" s="192"/>
      <c r="K509" s="195"/>
    </row>
    <row r="510" spans="1:11" x14ac:dyDescent="0.25">
      <c r="A510" s="191"/>
      <c r="B510" s="192"/>
      <c r="C510" s="192"/>
      <c r="D510" s="192"/>
      <c r="E510" s="192"/>
      <c r="F510" s="192"/>
      <c r="G510" s="192"/>
      <c r="H510" s="192"/>
      <c r="I510" s="192"/>
      <c r="J510" s="192"/>
      <c r="K510" s="195"/>
    </row>
    <row r="511" spans="1:11" x14ac:dyDescent="0.25">
      <c r="A511" s="191"/>
      <c r="B511" s="192"/>
      <c r="C511" s="192"/>
      <c r="D511" s="192"/>
      <c r="E511" s="192"/>
      <c r="F511" s="192"/>
      <c r="G511" s="192"/>
      <c r="H511" s="192"/>
      <c r="I511" s="192"/>
      <c r="J511" s="192"/>
      <c r="K511" s="195"/>
    </row>
    <row r="512" spans="1:11" x14ac:dyDescent="0.25">
      <c r="A512" s="191"/>
      <c r="B512" s="192"/>
      <c r="C512" s="192"/>
      <c r="D512" s="192"/>
      <c r="E512" s="192"/>
      <c r="F512" s="192"/>
      <c r="G512" s="192"/>
      <c r="H512" s="192"/>
      <c r="I512" s="192"/>
      <c r="J512" s="192"/>
      <c r="K512" s="195"/>
    </row>
    <row r="513" spans="1:11" x14ac:dyDescent="0.25">
      <c r="A513" s="191"/>
      <c r="B513" s="192"/>
      <c r="C513" s="192"/>
      <c r="D513" s="192"/>
      <c r="E513" s="192"/>
      <c r="F513" s="192"/>
      <c r="G513" s="192"/>
      <c r="H513" s="192"/>
      <c r="I513" s="192"/>
      <c r="J513" s="192"/>
      <c r="K513" s="195"/>
    </row>
    <row r="514" spans="1:11" x14ac:dyDescent="0.25">
      <c r="A514" s="191"/>
      <c r="B514" s="192"/>
      <c r="C514" s="192"/>
      <c r="D514" s="192"/>
      <c r="E514" s="192"/>
      <c r="F514" s="192"/>
      <c r="G514" s="192"/>
      <c r="H514" s="192"/>
      <c r="I514" s="192"/>
      <c r="J514" s="192"/>
      <c r="K514" s="195"/>
    </row>
    <row r="515" spans="1:11" x14ac:dyDescent="0.25">
      <c r="A515" s="191"/>
      <c r="B515" s="192"/>
      <c r="C515" s="192"/>
      <c r="D515" s="192"/>
      <c r="E515" s="192"/>
      <c r="F515" s="192"/>
      <c r="G515" s="192"/>
      <c r="H515" s="192"/>
      <c r="I515" s="192"/>
      <c r="J515" s="192"/>
      <c r="K515" s="195"/>
    </row>
    <row r="516" spans="1:11" x14ac:dyDescent="0.25">
      <c r="A516" s="191"/>
      <c r="B516" s="192"/>
      <c r="C516" s="192"/>
      <c r="D516" s="192"/>
      <c r="E516" s="192"/>
      <c r="F516" s="192"/>
      <c r="G516" s="192"/>
      <c r="H516" s="192"/>
      <c r="I516" s="192"/>
      <c r="J516" s="192"/>
      <c r="K516" s="195"/>
    </row>
    <row r="517" spans="1:11" x14ac:dyDescent="0.25">
      <c r="A517" s="191"/>
      <c r="B517" s="192"/>
      <c r="C517" s="192"/>
      <c r="D517" s="192"/>
      <c r="E517" s="192"/>
      <c r="F517" s="192"/>
      <c r="G517" s="192"/>
      <c r="H517" s="192"/>
      <c r="I517" s="192"/>
      <c r="J517" s="192"/>
      <c r="K517" s="195"/>
    </row>
    <row r="518" spans="1:11" x14ac:dyDescent="0.25">
      <c r="A518" s="191"/>
      <c r="B518" s="192"/>
      <c r="C518" s="192"/>
      <c r="D518" s="192"/>
      <c r="E518" s="192"/>
      <c r="F518" s="192"/>
      <c r="G518" s="192"/>
      <c r="H518" s="192"/>
      <c r="I518" s="192"/>
      <c r="J518" s="192"/>
      <c r="K518" s="195"/>
    </row>
    <row r="519" spans="1:11" x14ac:dyDescent="0.25">
      <c r="A519" s="191"/>
      <c r="B519" s="192"/>
      <c r="C519" s="192"/>
      <c r="D519" s="192"/>
      <c r="E519" s="192"/>
      <c r="F519" s="192"/>
      <c r="G519" s="192"/>
      <c r="H519" s="192"/>
      <c r="I519" s="192"/>
      <c r="J519" s="192"/>
      <c r="K519" s="195"/>
    </row>
    <row r="520" spans="1:11" x14ac:dyDescent="0.25">
      <c r="A520" s="191"/>
      <c r="B520" s="192"/>
      <c r="C520" s="192"/>
      <c r="D520" s="192"/>
      <c r="E520" s="192"/>
      <c r="F520" s="192"/>
      <c r="G520" s="192"/>
      <c r="H520" s="192"/>
      <c r="I520" s="192"/>
      <c r="J520" s="192"/>
      <c r="K520" s="195"/>
    </row>
    <row r="521" spans="1:11" x14ac:dyDescent="0.25">
      <c r="A521" s="191"/>
      <c r="B521" s="192"/>
      <c r="C521" s="192"/>
      <c r="D521" s="192"/>
      <c r="E521" s="192"/>
      <c r="F521" s="192"/>
      <c r="G521" s="192"/>
      <c r="H521" s="192"/>
      <c r="I521" s="192"/>
      <c r="J521" s="192"/>
      <c r="K521" s="195"/>
    </row>
    <row r="522" spans="1:11" x14ac:dyDescent="0.25">
      <c r="A522" s="191"/>
      <c r="B522" s="192"/>
      <c r="C522" s="192"/>
      <c r="D522" s="192"/>
      <c r="E522" s="192"/>
      <c r="F522" s="192"/>
      <c r="G522" s="192"/>
      <c r="H522" s="192"/>
      <c r="I522" s="192"/>
      <c r="J522" s="192"/>
      <c r="K522" s="195"/>
    </row>
    <row r="523" spans="1:11" x14ac:dyDescent="0.25">
      <c r="A523" s="191"/>
      <c r="B523" s="192"/>
      <c r="C523" s="192"/>
      <c r="D523" s="192"/>
      <c r="E523" s="192"/>
      <c r="F523" s="192"/>
      <c r="G523" s="192"/>
      <c r="H523" s="192"/>
      <c r="I523" s="192"/>
      <c r="J523" s="192"/>
      <c r="K523" s="195"/>
    </row>
    <row r="524" spans="1:11" x14ac:dyDescent="0.25">
      <c r="A524" s="191"/>
      <c r="B524" s="192"/>
      <c r="C524" s="192"/>
      <c r="D524" s="192"/>
      <c r="E524" s="192"/>
      <c r="F524" s="192"/>
      <c r="G524" s="192"/>
      <c r="H524" s="192"/>
      <c r="I524" s="192"/>
      <c r="J524" s="192"/>
      <c r="K524" s="195"/>
    </row>
    <row r="525" spans="1:11" x14ac:dyDescent="0.25">
      <c r="A525" s="191"/>
      <c r="B525" s="192"/>
      <c r="C525" s="192"/>
      <c r="D525" s="192"/>
      <c r="E525" s="192"/>
      <c r="F525" s="192"/>
      <c r="G525" s="192"/>
      <c r="H525" s="192"/>
      <c r="I525" s="192"/>
      <c r="J525" s="192"/>
      <c r="K525" s="195"/>
    </row>
    <row r="526" spans="1:11" x14ac:dyDescent="0.25">
      <c r="A526" s="191"/>
      <c r="B526" s="192"/>
      <c r="C526" s="192"/>
      <c r="D526" s="192"/>
      <c r="E526" s="192"/>
      <c r="F526" s="192"/>
      <c r="G526" s="192"/>
      <c r="H526" s="192"/>
      <c r="I526" s="192"/>
      <c r="J526" s="192"/>
      <c r="K526" s="195"/>
    </row>
    <row r="527" spans="1:11" x14ac:dyDescent="0.25">
      <c r="A527" s="191"/>
      <c r="B527" s="192"/>
      <c r="C527" s="192"/>
      <c r="D527" s="192"/>
      <c r="E527" s="192"/>
      <c r="F527" s="192"/>
      <c r="G527" s="192"/>
      <c r="H527" s="192"/>
      <c r="I527" s="192"/>
      <c r="J527" s="192"/>
      <c r="K527" s="195"/>
    </row>
    <row r="528" spans="1:11" x14ac:dyDescent="0.25">
      <c r="A528" s="191"/>
      <c r="B528" s="192"/>
      <c r="C528" s="192"/>
      <c r="D528" s="192"/>
      <c r="E528" s="192"/>
      <c r="F528" s="192"/>
      <c r="G528" s="192"/>
      <c r="H528" s="192"/>
      <c r="I528" s="192"/>
      <c r="J528" s="192"/>
      <c r="K528" s="195"/>
    </row>
    <row r="529" spans="1:11" x14ac:dyDescent="0.25">
      <c r="A529" s="191"/>
      <c r="B529" s="192"/>
      <c r="C529" s="192"/>
      <c r="D529" s="192"/>
      <c r="E529" s="192"/>
      <c r="F529" s="192"/>
      <c r="G529" s="192"/>
      <c r="H529" s="192"/>
      <c r="I529" s="192"/>
      <c r="J529" s="192"/>
      <c r="K529" s="195"/>
    </row>
    <row r="530" spans="1:11" x14ac:dyDescent="0.25">
      <c r="A530" s="191"/>
      <c r="B530" s="192"/>
      <c r="C530" s="192"/>
      <c r="D530" s="192"/>
      <c r="E530" s="192"/>
      <c r="F530" s="192"/>
      <c r="G530" s="192"/>
      <c r="H530" s="192"/>
      <c r="I530" s="192"/>
      <c r="J530" s="192"/>
      <c r="K530" s="195"/>
    </row>
    <row r="531" spans="1:11" x14ac:dyDescent="0.25">
      <c r="A531" s="191"/>
      <c r="B531" s="192"/>
      <c r="C531" s="192"/>
      <c r="D531" s="192"/>
      <c r="E531" s="192"/>
      <c r="F531" s="192"/>
      <c r="G531" s="192"/>
      <c r="H531" s="192"/>
      <c r="I531" s="192"/>
      <c r="J531" s="192"/>
      <c r="K531" s="195"/>
    </row>
    <row r="532" spans="1:11" x14ac:dyDescent="0.25">
      <c r="A532" s="191"/>
      <c r="B532" s="192"/>
      <c r="C532" s="192"/>
      <c r="D532" s="192"/>
      <c r="E532" s="192"/>
      <c r="F532" s="192"/>
      <c r="G532" s="192"/>
      <c r="H532" s="192"/>
      <c r="I532" s="192"/>
      <c r="J532" s="192"/>
      <c r="K532" s="195"/>
    </row>
    <row r="533" spans="1:11" x14ac:dyDescent="0.25">
      <c r="A533" s="191"/>
      <c r="B533" s="192"/>
      <c r="C533" s="192"/>
      <c r="D533" s="192"/>
      <c r="E533" s="192"/>
      <c r="F533" s="192"/>
      <c r="G533" s="192"/>
      <c r="H533" s="192"/>
      <c r="I533" s="192"/>
      <c r="J533" s="192"/>
      <c r="K533" s="195"/>
    </row>
    <row r="534" spans="1:11" x14ac:dyDescent="0.25">
      <c r="A534" s="191"/>
      <c r="B534" s="192"/>
      <c r="C534" s="192"/>
      <c r="D534" s="192"/>
      <c r="E534" s="192"/>
      <c r="F534" s="192"/>
      <c r="G534" s="192"/>
      <c r="H534" s="192"/>
      <c r="I534" s="192"/>
      <c r="J534" s="192"/>
      <c r="K534" s="195"/>
    </row>
    <row r="535" spans="1:11" x14ac:dyDescent="0.25">
      <c r="A535" s="191"/>
      <c r="B535" s="192"/>
      <c r="C535" s="192"/>
      <c r="D535" s="192"/>
      <c r="E535" s="192"/>
      <c r="F535" s="192"/>
      <c r="G535" s="192"/>
      <c r="H535" s="192"/>
      <c r="I535" s="192"/>
      <c r="J535" s="192"/>
      <c r="K535" s="195"/>
    </row>
    <row r="536" spans="1:11" x14ac:dyDescent="0.25">
      <c r="A536" s="191"/>
      <c r="B536" s="192"/>
      <c r="C536" s="192"/>
      <c r="D536" s="192"/>
      <c r="E536" s="192"/>
      <c r="F536" s="192"/>
      <c r="G536" s="192"/>
      <c r="H536" s="192"/>
      <c r="I536" s="192"/>
      <c r="J536" s="192"/>
      <c r="K536" s="195"/>
    </row>
    <row r="537" spans="1:11" x14ac:dyDescent="0.25">
      <c r="A537" s="191"/>
      <c r="B537" s="192"/>
      <c r="C537" s="192"/>
      <c r="D537" s="192"/>
      <c r="E537" s="192"/>
      <c r="F537" s="192"/>
      <c r="G537" s="192"/>
      <c r="H537" s="192"/>
      <c r="I537" s="192"/>
      <c r="J537" s="192"/>
      <c r="K537" s="195"/>
    </row>
    <row r="538" spans="1:11" x14ac:dyDescent="0.25">
      <c r="A538" s="191"/>
      <c r="B538" s="192"/>
      <c r="C538" s="192"/>
      <c r="D538" s="192"/>
      <c r="E538" s="192"/>
      <c r="F538" s="192"/>
      <c r="G538" s="192"/>
      <c r="H538" s="192"/>
      <c r="I538" s="192"/>
      <c r="J538" s="192"/>
      <c r="K538" s="195"/>
    </row>
    <row r="539" spans="1:11" x14ac:dyDescent="0.25">
      <c r="A539" s="191"/>
      <c r="B539" s="192"/>
      <c r="C539" s="192"/>
      <c r="D539" s="192"/>
      <c r="E539" s="192"/>
      <c r="F539" s="192"/>
      <c r="G539" s="192"/>
      <c r="H539" s="192"/>
      <c r="I539" s="192"/>
      <c r="J539" s="192"/>
      <c r="K539" s="195"/>
    </row>
    <row r="540" spans="1:11" x14ac:dyDescent="0.25">
      <c r="A540" s="191"/>
      <c r="B540" s="192"/>
      <c r="C540" s="192"/>
      <c r="D540" s="192"/>
      <c r="E540" s="192"/>
      <c r="F540" s="192"/>
      <c r="G540" s="192"/>
      <c r="H540" s="192"/>
      <c r="I540" s="192"/>
      <c r="J540" s="192"/>
      <c r="K540" s="195"/>
    </row>
    <row r="541" spans="1:11" x14ac:dyDescent="0.25">
      <c r="A541" s="191"/>
      <c r="B541" s="192"/>
      <c r="C541" s="192"/>
      <c r="D541" s="192"/>
      <c r="E541" s="192"/>
      <c r="F541" s="192"/>
      <c r="G541" s="192"/>
      <c r="H541" s="192"/>
      <c r="I541" s="192"/>
      <c r="J541" s="192"/>
      <c r="K541" s="195"/>
    </row>
    <row r="542" spans="1:11" x14ac:dyDescent="0.25">
      <c r="A542" s="191"/>
      <c r="B542" s="192"/>
      <c r="C542" s="192"/>
      <c r="D542" s="192"/>
      <c r="E542" s="192"/>
      <c r="F542" s="192"/>
      <c r="G542" s="192"/>
      <c r="H542" s="192"/>
      <c r="I542" s="192"/>
      <c r="J542" s="192"/>
      <c r="K542" s="195"/>
    </row>
    <row r="543" spans="1:11" x14ac:dyDescent="0.25">
      <c r="A543" s="191"/>
      <c r="B543" s="192"/>
      <c r="C543" s="192"/>
      <c r="D543" s="192"/>
      <c r="E543" s="192"/>
      <c r="F543" s="192"/>
      <c r="G543" s="192"/>
      <c r="H543" s="192"/>
      <c r="I543" s="192"/>
      <c r="J543" s="192"/>
      <c r="K543" s="195"/>
    </row>
    <row r="544" spans="1:11" x14ac:dyDescent="0.25">
      <c r="A544" s="191"/>
      <c r="B544" s="192"/>
      <c r="C544" s="192"/>
      <c r="D544" s="192"/>
      <c r="E544" s="192"/>
      <c r="F544" s="192"/>
      <c r="G544" s="192"/>
      <c r="H544" s="192"/>
      <c r="I544" s="192"/>
      <c r="J544" s="192"/>
      <c r="K544" s="195"/>
    </row>
    <row r="545" spans="1:11" x14ac:dyDescent="0.25">
      <c r="A545" s="191"/>
      <c r="B545" s="192"/>
      <c r="C545" s="192"/>
      <c r="D545" s="192"/>
      <c r="E545" s="192"/>
      <c r="F545" s="192"/>
      <c r="G545" s="192"/>
      <c r="H545" s="192"/>
      <c r="I545" s="192"/>
      <c r="J545" s="192"/>
      <c r="K545" s="195"/>
    </row>
    <row r="546" spans="1:11" x14ac:dyDescent="0.25">
      <c r="A546" s="191"/>
      <c r="B546" s="192"/>
      <c r="C546" s="192"/>
      <c r="D546" s="192"/>
      <c r="E546" s="192"/>
      <c r="F546" s="192"/>
      <c r="G546" s="192"/>
      <c r="H546" s="192"/>
      <c r="I546" s="192"/>
      <c r="J546" s="192"/>
      <c r="K546" s="195"/>
    </row>
    <row r="547" spans="1:11" x14ac:dyDescent="0.25">
      <c r="A547" s="191"/>
      <c r="B547" s="192"/>
      <c r="C547" s="192"/>
      <c r="D547" s="192"/>
      <c r="E547" s="192"/>
      <c r="F547" s="192"/>
      <c r="G547" s="192"/>
      <c r="H547" s="192"/>
      <c r="I547" s="192"/>
      <c r="J547" s="192"/>
      <c r="K547" s="195"/>
    </row>
    <row r="548" spans="1:11" x14ac:dyDescent="0.25">
      <c r="A548" s="191"/>
      <c r="B548" s="192"/>
      <c r="C548" s="192"/>
      <c r="D548" s="192"/>
      <c r="E548" s="192"/>
      <c r="F548" s="192"/>
      <c r="G548" s="192"/>
      <c r="H548" s="192"/>
      <c r="I548" s="192"/>
      <c r="J548" s="192"/>
      <c r="K548" s="195"/>
    </row>
    <row r="549" spans="1:11" x14ac:dyDescent="0.25">
      <c r="A549" s="191"/>
      <c r="B549" s="192"/>
      <c r="C549" s="192"/>
      <c r="D549" s="192"/>
      <c r="E549" s="192"/>
      <c r="F549" s="192"/>
      <c r="G549" s="192"/>
      <c r="H549" s="192"/>
      <c r="I549" s="192"/>
      <c r="J549" s="192"/>
      <c r="K549" s="195"/>
    </row>
    <row r="550" spans="1:11" x14ac:dyDescent="0.25">
      <c r="A550" s="191"/>
      <c r="B550" s="192"/>
      <c r="C550" s="192"/>
      <c r="D550" s="192"/>
      <c r="E550" s="192"/>
      <c r="F550" s="192"/>
      <c r="G550" s="192"/>
      <c r="H550" s="192"/>
      <c r="I550" s="192"/>
      <c r="J550" s="192"/>
      <c r="K550" s="195"/>
    </row>
    <row r="551" spans="1:11" x14ac:dyDescent="0.25">
      <c r="A551" s="191"/>
      <c r="B551" s="192"/>
      <c r="C551" s="192"/>
      <c r="D551" s="192"/>
      <c r="E551" s="192"/>
      <c r="F551" s="192"/>
      <c r="G551" s="192"/>
      <c r="H551" s="192"/>
      <c r="I551" s="192"/>
      <c r="J551" s="192"/>
      <c r="K551" s="195"/>
    </row>
    <row r="552" spans="1:11" x14ac:dyDescent="0.25">
      <c r="A552" s="191"/>
      <c r="B552" s="192"/>
      <c r="C552" s="192"/>
      <c r="D552" s="192"/>
      <c r="E552" s="192"/>
      <c r="F552" s="192"/>
      <c r="G552" s="192"/>
      <c r="H552" s="192"/>
      <c r="I552" s="192"/>
      <c r="J552" s="192"/>
      <c r="K552" s="195"/>
    </row>
    <row r="553" spans="1:11" x14ac:dyDescent="0.25">
      <c r="A553" s="191"/>
      <c r="B553" s="192"/>
      <c r="C553" s="192"/>
      <c r="D553" s="192"/>
      <c r="E553" s="192"/>
      <c r="F553" s="192"/>
      <c r="G553" s="192"/>
      <c r="H553" s="192"/>
      <c r="I553" s="192"/>
      <c r="J553" s="192"/>
      <c r="K553" s="195"/>
    </row>
    <row r="554" spans="1:11" x14ac:dyDescent="0.25">
      <c r="A554" s="191"/>
      <c r="B554" s="192"/>
      <c r="C554" s="192"/>
      <c r="D554" s="192"/>
      <c r="E554" s="192"/>
      <c r="F554" s="192"/>
      <c r="G554" s="192"/>
      <c r="H554" s="192"/>
      <c r="I554" s="192"/>
      <c r="J554" s="192"/>
      <c r="K554" s="195"/>
    </row>
    <row r="555" spans="1:11" x14ac:dyDescent="0.25">
      <c r="A555" s="191"/>
      <c r="B555" s="192"/>
      <c r="C555" s="192"/>
      <c r="D555" s="192"/>
      <c r="E555" s="192"/>
      <c r="F555" s="192"/>
      <c r="G555" s="192"/>
      <c r="H555" s="192"/>
      <c r="I555" s="192"/>
      <c r="J555" s="192"/>
      <c r="K555" s="195"/>
    </row>
    <row r="556" spans="1:11" x14ac:dyDescent="0.25">
      <c r="A556" s="191"/>
      <c r="B556" s="192"/>
      <c r="C556" s="192"/>
      <c r="D556" s="192"/>
      <c r="E556" s="192"/>
      <c r="F556" s="192"/>
      <c r="G556" s="192"/>
      <c r="H556" s="192"/>
      <c r="I556" s="192"/>
      <c r="J556" s="192"/>
      <c r="K556" s="195"/>
    </row>
    <row r="557" spans="1:11" x14ac:dyDescent="0.25">
      <c r="A557" s="191"/>
      <c r="B557" s="192"/>
      <c r="C557" s="192"/>
      <c r="D557" s="192"/>
      <c r="E557" s="192"/>
      <c r="F557" s="192"/>
      <c r="G557" s="192"/>
      <c r="H557" s="192"/>
      <c r="I557" s="192"/>
      <c r="J557" s="192"/>
      <c r="K557" s="195"/>
    </row>
    <row r="558" spans="1:11" x14ac:dyDescent="0.25">
      <c r="A558" s="191"/>
      <c r="B558" s="192"/>
      <c r="C558" s="192"/>
      <c r="D558" s="192"/>
      <c r="E558" s="192"/>
      <c r="F558" s="192"/>
      <c r="G558" s="192"/>
      <c r="H558" s="192"/>
      <c r="I558" s="192"/>
      <c r="J558" s="192"/>
      <c r="K558" s="195"/>
    </row>
    <row r="559" spans="1:11" x14ac:dyDescent="0.25">
      <c r="A559" s="191"/>
      <c r="B559" s="192"/>
      <c r="C559" s="192"/>
      <c r="D559" s="192"/>
      <c r="E559" s="192"/>
      <c r="F559" s="192"/>
      <c r="G559" s="192"/>
      <c r="H559" s="192"/>
      <c r="I559" s="192"/>
      <c r="J559" s="192"/>
      <c r="K559" s="195"/>
    </row>
    <row r="560" spans="1:11" x14ac:dyDescent="0.25">
      <c r="A560" s="191"/>
      <c r="B560" s="192"/>
      <c r="C560" s="192"/>
      <c r="D560" s="192"/>
      <c r="E560" s="192"/>
      <c r="F560" s="192"/>
      <c r="G560" s="192"/>
      <c r="H560" s="192"/>
      <c r="I560" s="192"/>
      <c r="J560" s="192"/>
      <c r="K560" s="195"/>
    </row>
    <row r="561" spans="1:11" x14ac:dyDescent="0.25">
      <c r="A561" s="191"/>
      <c r="B561" s="192"/>
      <c r="C561" s="192"/>
      <c r="D561" s="192"/>
      <c r="E561" s="192"/>
      <c r="F561" s="192"/>
      <c r="G561" s="192"/>
      <c r="H561" s="192"/>
      <c r="I561" s="192"/>
      <c r="J561" s="192"/>
      <c r="K561" s="195"/>
    </row>
    <row r="562" spans="1:11" x14ac:dyDescent="0.25">
      <c r="A562" s="191"/>
      <c r="B562" s="192"/>
      <c r="C562" s="192"/>
      <c r="D562" s="192"/>
      <c r="E562" s="192"/>
      <c r="F562" s="192"/>
      <c r="G562" s="192"/>
      <c r="H562" s="192"/>
      <c r="I562" s="192"/>
      <c r="J562" s="192"/>
      <c r="K562" s="195"/>
    </row>
    <row r="563" spans="1:11" x14ac:dyDescent="0.25">
      <c r="A563" s="191"/>
      <c r="B563" s="192"/>
      <c r="C563" s="192"/>
      <c r="D563" s="192"/>
      <c r="E563" s="192"/>
      <c r="F563" s="192"/>
      <c r="G563" s="192"/>
      <c r="H563" s="192"/>
      <c r="I563" s="192"/>
      <c r="J563" s="192"/>
      <c r="K563" s="195"/>
    </row>
    <row r="564" spans="1:11" x14ac:dyDescent="0.25">
      <c r="A564" s="191"/>
      <c r="B564" s="192"/>
      <c r="C564" s="192"/>
      <c r="D564" s="192"/>
      <c r="E564" s="192"/>
      <c r="F564" s="192"/>
      <c r="G564" s="192"/>
      <c r="H564" s="192"/>
      <c r="I564" s="192"/>
      <c r="J564" s="192"/>
      <c r="K564" s="195"/>
    </row>
    <row r="565" spans="1:11" x14ac:dyDescent="0.25">
      <c r="A565" s="191"/>
      <c r="B565" s="192"/>
      <c r="C565" s="192"/>
      <c r="D565" s="192"/>
      <c r="E565" s="192"/>
      <c r="F565" s="192"/>
      <c r="G565" s="192"/>
      <c r="H565" s="192"/>
      <c r="I565" s="192"/>
      <c r="J565" s="192"/>
      <c r="K565" s="195"/>
    </row>
    <row r="566" spans="1:11" x14ac:dyDescent="0.25">
      <c r="A566" s="191"/>
      <c r="B566" s="192"/>
      <c r="C566" s="192"/>
      <c r="D566" s="192"/>
      <c r="E566" s="192"/>
      <c r="F566" s="192"/>
      <c r="G566" s="192"/>
      <c r="H566" s="192"/>
      <c r="I566" s="192"/>
      <c r="J566" s="192"/>
      <c r="K566" s="195"/>
    </row>
    <row r="567" spans="1:11" x14ac:dyDescent="0.25">
      <c r="A567" s="191"/>
      <c r="B567" s="192"/>
      <c r="C567" s="192"/>
      <c r="D567" s="192"/>
      <c r="E567" s="192"/>
      <c r="F567" s="192"/>
      <c r="G567" s="192"/>
      <c r="H567" s="192"/>
      <c r="I567" s="192"/>
      <c r="J567" s="192"/>
      <c r="K567" s="195"/>
    </row>
    <row r="568" spans="1:11" x14ac:dyDescent="0.25">
      <c r="A568" s="191"/>
      <c r="B568" s="192"/>
      <c r="C568" s="192"/>
      <c r="D568" s="192"/>
      <c r="E568" s="192"/>
      <c r="F568" s="192"/>
      <c r="G568" s="192"/>
      <c r="H568" s="192"/>
      <c r="I568" s="192"/>
      <c r="J568" s="192"/>
      <c r="K568" s="195"/>
    </row>
    <row r="569" spans="1:11" x14ac:dyDescent="0.25">
      <c r="A569" s="191"/>
      <c r="B569" s="192"/>
      <c r="C569" s="192"/>
      <c r="D569" s="192"/>
      <c r="E569" s="192"/>
      <c r="F569" s="192"/>
      <c r="G569" s="192"/>
      <c r="H569" s="192"/>
      <c r="I569" s="192"/>
      <c r="J569" s="192"/>
      <c r="K569" s="195"/>
    </row>
    <row r="570" spans="1:11" x14ac:dyDescent="0.25">
      <c r="A570" s="191"/>
      <c r="B570" s="192"/>
      <c r="C570" s="192"/>
      <c r="D570" s="192"/>
      <c r="E570" s="192"/>
      <c r="F570" s="192"/>
      <c r="G570" s="192"/>
      <c r="H570" s="192"/>
      <c r="I570" s="192"/>
      <c r="J570" s="192"/>
      <c r="K570" s="195"/>
    </row>
    <row r="571" spans="1:11" x14ac:dyDescent="0.25">
      <c r="A571" s="191"/>
      <c r="B571" s="192"/>
      <c r="C571" s="192"/>
      <c r="D571" s="192"/>
      <c r="E571" s="192"/>
      <c r="F571" s="192"/>
      <c r="G571" s="192"/>
      <c r="H571" s="192"/>
      <c r="I571" s="192"/>
      <c r="J571" s="192"/>
      <c r="K571" s="195"/>
    </row>
    <row r="572" spans="1:11" x14ac:dyDescent="0.25">
      <c r="A572" s="191"/>
      <c r="B572" s="192"/>
      <c r="C572" s="192"/>
      <c r="D572" s="192"/>
      <c r="E572" s="192"/>
      <c r="F572" s="192"/>
      <c r="G572" s="192"/>
      <c r="H572" s="192"/>
      <c r="I572" s="192"/>
      <c r="J572" s="192"/>
      <c r="K572" s="195"/>
    </row>
    <row r="573" spans="1:11" x14ac:dyDescent="0.25">
      <c r="A573" s="191"/>
      <c r="B573" s="192"/>
      <c r="C573" s="192"/>
      <c r="D573" s="192"/>
      <c r="E573" s="192"/>
      <c r="F573" s="192"/>
      <c r="G573" s="192"/>
      <c r="H573" s="192"/>
      <c r="I573" s="192"/>
      <c r="J573" s="192"/>
      <c r="K573" s="195"/>
    </row>
    <row r="574" spans="1:11" x14ac:dyDescent="0.25">
      <c r="A574" s="191"/>
      <c r="B574" s="192"/>
      <c r="C574" s="192"/>
      <c r="D574" s="192"/>
      <c r="E574" s="192"/>
      <c r="F574" s="192"/>
      <c r="G574" s="192"/>
      <c r="H574" s="192"/>
      <c r="I574" s="192"/>
      <c r="J574" s="192"/>
      <c r="K574" s="195"/>
    </row>
    <row r="575" spans="1:11" x14ac:dyDescent="0.25">
      <c r="A575" s="191"/>
      <c r="B575" s="192"/>
      <c r="C575" s="192"/>
      <c r="D575" s="192"/>
      <c r="E575" s="192"/>
      <c r="F575" s="192"/>
      <c r="G575" s="192"/>
      <c r="H575" s="192"/>
      <c r="I575" s="192"/>
      <c r="J575" s="192"/>
      <c r="K575" s="195"/>
    </row>
    <row r="576" spans="1:11" x14ac:dyDescent="0.25">
      <c r="A576" s="191"/>
      <c r="B576" s="192"/>
      <c r="C576" s="192"/>
      <c r="D576" s="192"/>
      <c r="E576" s="192"/>
      <c r="F576" s="192"/>
      <c r="G576" s="192"/>
      <c r="H576" s="192"/>
      <c r="I576" s="192"/>
      <c r="J576" s="192"/>
      <c r="K576" s="195"/>
    </row>
    <row r="577" spans="1:11" x14ac:dyDescent="0.25">
      <c r="A577" s="191"/>
      <c r="B577" s="192"/>
      <c r="C577" s="192"/>
      <c r="D577" s="192"/>
      <c r="E577" s="192"/>
      <c r="F577" s="192"/>
      <c r="G577" s="192"/>
      <c r="H577" s="192"/>
      <c r="I577" s="192"/>
      <c r="J577" s="192"/>
      <c r="K577" s="195"/>
    </row>
    <row r="578" spans="1:11" x14ac:dyDescent="0.25">
      <c r="A578" s="191"/>
      <c r="B578" s="192"/>
      <c r="C578" s="192"/>
      <c r="D578" s="192"/>
      <c r="E578" s="192"/>
      <c r="F578" s="192"/>
      <c r="G578" s="192"/>
      <c r="H578" s="192"/>
      <c r="I578" s="192"/>
      <c r="J578" s="192"/>
      <c r="K578" s="195"/>
    </row>
    <row r="579" spans="1:11" x14ac:dyDescent="0.25">
      <c r="A579" s="191"/>
      <c r="B579" s="192"/>
      <c r="C579" s="192"/>
      <c r="D579" s="192"/>
      <c r="E579" s="192"/>
      <c r="F579" s="192"/>
      <c r="G579" s="192"/>
      <c r="H579" s="192"/>
      <c r="I579" s="192"/>
      <c r="J579" s="192"/>
      <c r="K579" s="195"/>
    </row>
    <row r="580" spans="1:11" x14ac:dyDescent="0.25">
      <c r="A580" s="191"/>
      <c r="B580" s="192"/>
      <c r="C580" s="192"/>
      <c r="D580" s="192"/>
      <c r="E580" s="192"/>
      <c r="F580" s="192"/>
      <c r="G580" s="192"/>
      <c r="H580" s="192"/>
      <c r="I580" s="192"/>
      <c r="J580" s="192"/>
      <c r="K580" s="195"/>
    </row>
    <row r="581" spans="1:11" x14ac:dyDescent="0.25">
      <c r="A581" s="191"/>
      <c r="B581" s="192"/>
      <c r="C581" s="192"/>
      <c r="D581" s="192"/>
      <c r="E581" s="192"/>
      <c r="F581" s="192"/>
      <c r="G581" s="192"/>
      <c r="H581" s="192"/>
      <c r="I581" s="192"/>
      <c r="J581" s="192"/>
      <c r="K581" s="195"/>
    </row>
    <row r="582" spans="1:11" x14ac:dyDescent="0.25">
      <c r="A582" s="191"/>
      <c r="B582" s="192"/>
      <c r="C582" s="192"/>
      <c r="D582" s="192"/>
      <c r="E582" s="192"/>
      <c r="F582" s="192"/>
      <c r="G582" s="192"/>
      <c r="H582" s="192"/>
      <c r="I582" s="192"/>
      <c r="J582" s="192"/>
      <c r="K582" s="195"/>
    </row>
    <row r="583" spans="1:11" x14ac:dyDescent="0.25">
      <c r="A583" s="191"/>
      <c r="B583" s="192"/>
      <c r="C583" s="192"/>
      <c r="D583" s="192"/>
      <c r="E583" s="192"/>
      <c r="F583" s="192"/>
      <c r="G583" s="192"/>
      <c r="H583" s="192"/>
      <c r="I583" s="192"/>
      <c r="J583" s="192"/>
      <c r="K583" s="195"/>
    </row>
    <row r="584" spans="1:11" x14ac:dyDescent="0.25">
      <c r="A584" s="191"/>
      <c r="B584" s="192"/>
      <c r="C584" s="192"/>
      <c r="D584" s="192"/>
      <c r="E584" s="192"/>
      <c r="F584" s="192"/>
      <c r="G584" s="192"/>
      <c r="H584" s="192"/>
      <c r="I584" s="192"/>
      <c r="J584" s="192"/>
      <c r="K584" s="195"/>
    </row>
    <row r="585" spans="1:11" x14ac:dyDescent="0.25">
      <c r="A585" s="191"/>
      <c r="B585" s="192"/>
      <c r="C585" s="192"/>
      <c r="D585" s="192"/>
      <c r="E585" s="192"/>
      <c r="F585" s="192"/>
      <c r="G585" s="192"/>
      <c r="H585" s="192"/>
      <c r="I585" s="192"/>
      <c r="J585" s="192"/>
      <c r="K585" s="195"/>
    </row>
    <row r="586" spans="1:11" x14ac:dyDescent="0.25">
      <c r="A586" s="191"/>
      <c r="B586" s="192"/>
      <c r="C586" s="192"/>
      <c r="D586" s="192"/>
      <c r="E586" s="192"/>
      <c r="F586" s="192"/>
      <c r="G586" s="192"/>
      <c r="H586" s="192"/>
      <c r="I586" s="192"/>
      <c r="J586" s="192"/>
      <c r="K586" s="195"/>
    </row>
    <row r="587" spans="1:11" x14ac:dyDescent="0.25">
      <c r="A587" s="191"/>
      <c r="B587" s="192"/>
      <c r="C587" s="192"/>
      <c r="D587" s="192"/>
      <c r="E587" s="192"/>
      <c r="F587" s="192"/>
      <c r="G587" s="192"/>
      <c r="H587" s="192"/>
      <c r="I587" s="192"/>
      <c r="J587" s="192"/>
      <c r="K587" s="195"/>
    </row>
    <row r="588" spans="1:11" x14ac:dyDescent="0.25">
      <c r="A588" s="191"/>
      <c r="B588" s="192"/>
      <c r="C588" s="192"/>
      <c r="D588" s="192"/>
      <c r="E588" s="192"/>
      <c r="F588" s="192"/>
      <c r="G588" s="192"/>
      <c r="H588" s="192"/>
      <c r="I588" s="192"/>
      <c r="J588" s="192"/>
      <c r="K588" s="195"/>
    </row>
    <row r="589" spans="1:11" x14ac:dyDescent="0.25">
      <c r="A589" s="191"/>
      <c r="B589" s="192"/>
      <c r="C589" s="192"/>
      <c r="D589" s="192"/>
      <c r="E589" s="192"/>
      <c r="F589" s="192"/>
      <c r="G589" s="192"/>
      <c r="H589" s="192"/>
      <c r="I589" s="192"/>
      <c r="J589" s="192"/>
      <c r="K589" s="195"/>
    </row>
    <row r="590" spans="1:11" x14ac:dyDescent="0.25">
      <c r="A590" s="191"/>
      <c r="B590" s="192"/>
      <c r="C590" s="192"/>
      <c r="D590" s="192"/>
      <c r="E590" s="192"/>
      <c r="F590" s="192"/>
      <c r="G590" s="192"/>
      <c r="H590" s="192"/>
      <c r="I590" s="192"/>
      <c r="J590" s="192"/>
      <c r="K590" s="195"/>
    </row>
    <row r="591" spans="1:11" x14ac:dyDescent="0.25">
      <c r="A591" s="191"/>
      <c r="B591" s="192"/>
      <c r="C591" s="192"/>
      <c r="D591" s="192"/>
      <c r="E591" s="192"/>
      <c r="F591" s="192"/>
      <c r="G591" s="192"/>
      <c r="H591" s="192"/>
      <c r="I591" s="192"/>
      <c r="J591" s="192"/>
      <c r="K591" s="195"/>
    </row>
    <row r="592" spans="1:11" x14ac:dyDescent="0.25">
      <c r="A592" s="191"/>
      <c r="B592" s="192"/>
      <c r="C592" s="192"/>
      <c r="D592" s="192"/>
      <c r="E592" s="192"/>
      <c r="F592" s="192"/>
      <c r="G592" s="192"/>
      <c r="H592" s="192"/>
      <c r="I592" s="192"/>
      <c r="J592" s="192"/>
      <c r="K592" s="195"/>
    </row>
    <row r="593" spans="1:11" x14ac:dyDescent="0.25">
      <c r="A593" s="191"/>
      <c r="B593" s="192"/>
      <c r="C593" s="192"/>
      <c r="D593" s="192"/>
      <c r="E593" s="192"/>
      <c r="F593" s="192"/>
      <c r="G593" s="192"/>
      <c r="H593" s="192"/>
      <c r="I593" s="192"/>
      <c r="J593" s="192"/>
      <c r="K593" s="195"/>
    </row>
    <row r="594" spans="1:11" x14ac:dyDescent="0.25">
      <c r="A594" s="191"/>
      <c r="B594" s="192"/>
      <c r="C594" s="192"/>
      <c r="D594" s="192"/>
      <c r="E594" s="192"/>
      <c r="F594" s="192"/>
      <c r="G594" s="192"/>
      <c r="H594" s="192"/>
      <c r="I594" s="192"/>
      <c r="J594" s="192"/>
      <c r="K594" s="195"/>
    </row>
    <row r="595" spans="1:11" x14ac:dyDescent="0.25">
      <c r="A595" s="191"/>
      <c r="B595" s="192"/>
      <c r="C595" s="192"/>
      <c r="D595" s="192"/>
      <c r="E595" s="192"/>
      <c r="F595" s="192"/>
      <c r="G595" s="192"/>
      <c r="H595" s="194"/>
      <c r="I595" s="194"/>
      <c r="J595" s="194"/>
      <c r="K595" s="195"/>
    </row>
    <row r="596" spans="1:11" x14ac:dyDescent="0.25">
      <c r="A596" s="191"/>
      <c r="B596" s="192"/>
      <c r="C596" s="192"/>
      <c r="D596" s="192"/>
      <c r="E596" s="192"/>
      <c r="F596" s="192"/>
      <c r="G596" s="192"/>
      <c r="H596" s="194"/>
      <c r="I596" s="194"/>
      <c r="J596" s="194"/>
      <c r="K596" s="195"/>
    </row>
    <row r="597" spans="1:11" x14ac:dyDescent="0.25">
      <c r="A597" s="191"/>
      <c r="B597" s="192"/>
      <c r="C597" s="192"/>
      <c r="D597" s="192"/>
      <c r="E597" s="192"/>
      <c r="F597" s="192"/>
      <c r="G597" s="192"/>
      <c r="H597" s="194"/>
      <c r="I597" s="194"/>
      <c r="J597" s="194"/>
      <c r="K597" s="195"/>
    </row>
    <row r="598" spans="1:11" x14ac:dyDescent="0.25">
      <c r="A598" s="191"/>
      <c r="B598" s="192"/>
      <c r="C598" s="192"/>
      <c r="D598" s="192"/>
      <c r="E598" s="192"/>
      <c r="F598" s="192"/>
      <c r="G598" s="192"/>
      <c r="H598" s="194"/>
      <c r="I598" s="194"/>
      <c r="J598" s="194"/>
      <c r="K598" s="195"/>
    </row>
    <row r="599" spans="1:11" x14ac:dyDescent="0.25">
      <c r="A599" s="191"/>
      <c r="B599" s="192"/>
      <c r="C599" s="192"/>
      <c r="D599" s="192"/>
      <c r="E599" s="192"/>
      <c r="F599" s="192"/>
      <c r="G599" s="192"/>
      <c r="H599" s="194"/>
      <c r="I599" s="194"/>
      <c r="J599" s="194"/>
      <c r="K599" s="195"/>
    </row>
    <row r="600" spans="1:11" x14ac:dyDescent="0.25">
      <c r="A600" s="191"/>
      <c r="B600" s="192"/>
      <c r="C600" s="192"/>
      <c r="D600" s="192"/>
      <c r="E600" s="192"/>
      <c r="F600" s="192"/>
      <c r="G600" s="192"/>
      <c r="H600" s="194"/>
      <c r="I600" s="194"/>
      <c r="J600" s="194"/>
      <c r="K600" s="195"/>
    </row>
    <row r="601" spans="1:11" x14ac:dyDescent="0.25">
      <c r="A601" s="196"/>
      <c r="B601" s="197"/>
      <c r="C601" s="197"/>
      <c r="D601" s="197"/>
      <c r="E601" s="197"/>
      <c r="F601" s="197"/>
      <c r="G601" s="197"/>
      <c r="H601" s="39"/>
      <c r="I601" s="39"/>
      <c r="J601" s="39"/>
    </row>
    <row r="602" spans="1:11" x14ac:dyDescent="0.25">
      <c r="A602" s="196"/>
      <c r="B602" s="197"/>
      <c r="C602" s="197"/>
      <c r="D602" s="197"/>
      <c r="E602" s="197"/>
      <c r="F602" s="197"/>
      <c r="G602" s="197"/>
      <c r="H602" s="39"/>
      <c r="I602" s="39"/>
      <c r="J602" s="39"/>
    </row>
    <row r="603" spans="1:11" x14ac:dyDescent="0.25">
      <c r="A603" s="196"/>
      <c r="B603" s="197"/>
      <c r="C603" s="197"/>
      <c r="D603" s="197"/>
      <c r="E603" s="197"/>
      <c r="F603" s="197"/>
      <c r="G603" s="197"/>
      <c r="H603" s="39"/>
      <c r="I603" s="39"/>
      <c r="J603" s="39"/>
    </row>
    <row r="604" spans="1:11" x14ac:dyDescent="0.25">
      <c r="A604" s="196"/>
      <c r="B604" s="197"/>
      <c r="C604" s="197"/>
      <c r="D604" s="197"/>
      <c r="E604" s="197"/>
      <c r="F604" s="197"/>
      <c r="G604" s="197"/>
      <c r="H604" s="39"/>
      <c r="I604" s="39"/>
      <c r="J604" s="39"/>
    </row>
    <row r="605" spans="1:11" x14ac:dyDescent="0.25">
      <c r="A605" s="196"/>
      <c r="B605" s="197"/>
      <c r="C605" s="197"/>
      <c r="D605" s="197"/>
      <c r="E605" s="197"/>
      <c r="F605" s="197"/>
      <c r="G605" s="197"/>
      <c r="H605" s="39"/>
      <c r="I605" s="39"/>
      <c r="J605" s="39"/>
    </row>
    <row r="606" spans="1:11" x14ac:dyDescent="0.25">
      <c r="A606" s="196"/>
      <c r="B606" s="197"/>
      <c r="C606" s="197"/>
      <c r="D606" s="197"/>
      <c r="E606" s="197"/>
      <c r="F606" s="197"/>
      <c r="G606" s="197"/>
      <c r="H606" s="39"/>
      <c r="I606" s="39"/>
      <c r="J606" s="39"/>
    </row>
    <row r="607" spans="1:11" x14ac:dyDescent="0.25">
      <c r="A607" s="196"/>
      <c r="B607" s="197"/>
      <c r="C607" s="197"/>
      <c r="D607" s="197"/>
      <c r="E607" s="197"/>
      <c r="F607" s="197"/>
      <c r="G607" s="197"/>
      <c r="H607" s="39"/>
      <c r="I607" s="39"/>
      <c r="J607" s="39"/>
    </row>
    <row r="608" spans="1:11" x14ac:dyDescent="0.25">
      <c r="A608" s="196"/>
      <c r="B608" s="197"/>
      <c r="C608" s="197"/>
      <c r="D608" s="197"/>
      <c r="E608" s="197"/>
      <c r="F608" s="197"/>
      <c r="G608" s="197"/>
      <c r="H608" s="39"/>
      <c r="I608" s="39"/>
      <c r="J608" s="39"/>
    </row>
    <row r="609" spans="1:10" x14ac:dyDescent="0.25">
      <c r="A609" s="196"/>
      <c r="B609" s="197"/>
      <c r="C609" s="197"/>
      <c r="D609" s="197"/>
      <c r="E609" s="197"/>
      <c r="F609" s="197"/>
      <c r="G609" s="197"/>
      <c r="H609" s="39"/>
      <c r="I609" s="39"/>
      <c r="J609" s="39"/>
    </row>
    <row r="610" spans="1:10" x14ac:dyDescent="0.25">
      <c r="A610" s="196"/>
      <c r="B610" s="197"/>
      <c r="C610" s="197"/>
      <c r="D610" s="197"/>
      <c r="E610" s="197"/>
      <c r="F610" s="197"/>
      <c r="G610" s="197"/>
      <c r="H610" s="39"/>
      <c r="I610" s="39"/>
      <c r="J610" s="39"/>
    </row>
    <row r="611" spans="1:10" x14ac:dyDescent="0.25">
      <c r="A611" s="196"/>
      <c r="B611" s="197"/>
      <c r="C611" s="197"/>
      <c r="D611" s="197"/>
      <c r="E611" s="197"/>
      <c r="F611" s="197"/>
      <c r="G611" s="197"/>
      <c r="H611" s="39"/>
      <c r="I611" s="39"/>
      <c r="J611" s="39"/>
    </row>
    <row r="612" spans="1:10" x14ac:dyDescent="0.25">
      <c r="A612" s="196"/>
      <c r="B612" s="197"/>
      <c r="C612" s="197"/>
      <c r="D612" s="197"/>
      <c r="E612" s="197"/>
      <c r="F612" s="197"/>
      <c r="G612" s="197"/>
      <c r="H612" s="39"/>
      <c r="I612" s="39"/>
      <c r="J612" s="39"/>
    </row>
    <row r="613" spans="1:10" x14ac:dyDescent="0.25">
      <c r="A613" s="196"/>
      <c r="B613" s="197"/>
      <c r="C613" s="197"/>
      <c r="D613" s="197"/>
      <c r="E613" s="197"/>
      <c r="F613" s="197"/>
      <c r="G613" s="197"/>
      <c r="H613" s="39"/>
      <c r="I613" s="39"/>
      <c r="J613" s="39"/>
    </row>
    <row r="614" spans="1:10" x14ac:dyDescent="0.25">
      <c r="A614" s="196"/>
      <c r="B614" s="197"/>
      <c r="C614" s="197"/>
      <c r="D614" s="197"/>
      <c r="E614" s="197"/>
      <c r="F614" s="197"/>
      <c r="G614" s="197"/>
      <c r="H614" s="39"/>
      <c r="I614" s="39"/>
      <c r="J614" s="39"/>
    </row>
    <row r="615" spans="1:10" x14ac:dyDescent="0.25">
      <c r="A615" s="196"/>
      <c r="B615" s="197"/>
      <c r="C615" s="197"/>
      <c r="D615" s="197"/>
      <c r="E615" s="197"/>
      <c r="F615" s="197"/>
      <c r="G615" s="197"/>
      <c r="H615" s="39"/>
      <c r="I615" s="39"/>
      <c r="J615" s="39"/>
    </row>
    <row r="616" spans="1:10" x14ac:dyDescent="0.25">
      <c r="A616" s="196"/>
      <c r="B616" s="197"/>
      <c r="C616" s="197"/>
      <c r="D616" s="197"/>
      <c r="E616" s="197"/>
      <c r="F616" s="197"/>
      <c r="G616" s="197"/>
      <c r="H616" s="39"/>
      <c r="I616" s="39"/>
      <c r="J616" s="39"/>
    </row>
    <row r="617" spans="1:10" x14ac:dyDescent="0.25">
      <c r="A617" s="196"/>
      <c r="B617" s="197"/>
      <c r="C617" s="197"/>
      <c r="D617" s="197"/>
      <c r="E617" s="197"/>
      <c r="F617" s="197"/>
      <c r="G617" s="197"/>
      <c r="H617" s="39"/>
      <c r="I617" s="39"/>
      <c r="J617" s="39"/>
    </row>
    <row r="618" spans="1:10" x14ac:dyDescent="0.25">
      <c r="A618" s="196"/>
      <c r="B618" s="197"/>
      <c r="C618" s="197"/>
      <c r="D618" s="197"/>
      <c r="E618" s="197"/>
      <c r="F618" s="197"/>
      <c r="G618" s="197"/>
      <c r="H618" s="39"/>
      <c r="I618" s="39"/>
      <c r="J618" s="39"/>
    </row>
    <row r="619" spans="1:10" x14ac:dyDescent="0.25">
      <c r="A619" s="196"/>
      <c r="B619" s="197"/>
      <c r="C619" s="197"/>
      <c r="D619" s="197"/>
      <c r="E619" s="197"/>
      <c r="F619" s="197"/>
      <c r="G619" s="197"/>
      <c r="H619" s="39"/>
      <c r="I619" s="39"/>
      <c r="J619" s="39"/>
    </row>
    <row r="620" spans="1:10" x14ac:dyDescent="0.25">
      <c r="A620" s="196"/>
      <c r="B620" s="197"/>
      <c r="C620" s="197"/>
      <c r="D620" s="197"/>
      <c r="E620" s="197"/>
      <c r="F620" s="197"/>
      <c r="G620" s="197"/>
      <c r="H620" s="39"/>
      <c r="I620" s="39"/>
      <c r="J620" s="39"/>
    </row>
    <row r="621" spans="1:10" x14ac:dyDescent="0.25">
      <c r="A621" s="196"/>
      <c r="B621" s="197"/>
      <c r="C621" s="197"/>
      <c r="D621" s="197"/>
      <c r="E621" s="197"/>
      <c r="F621" s="197"/>
      <c r="G621" s="197"/>
      <c r="H621" s="39"/>
      <c r="I621" s="39"/>
      <c r="J621" s="39"/>
    </row>
    <row r="622" spans="1:10" x14ac:dyDescent="0.25">
      <c r="A622" s="196"/>
      <c r="B622" s="197"/>
      <c r="C622" s="197"/>
      <c r="D622" s="197"/>
      <c r="E622" s="197"/>
      <c r="F622" s="197"/>
      <c r="G622" s="197"/>
      <c r="H622" s="39"/>
      <c r="I622" s="39"/>
      <c r="J622" s="39"/>
    </row>
    <row r="623" spans="1:10" x14ac:dyDescent="0.25">
      <c r="A623" s="196"/>
      <c r="B623" s="197"/>
      <c r="C623" s="197"/>
      <c r="D623" s="197"/>
      <c r="E623" s="197"/>
      <c r="F623" s="197"/>
      <c r="G623" s="197"/>
      <c r="H623" s="39"/>
      <c r="I623" s="39"/>
      <c r="J623" s="39"/>
    </row>
    <row r="624" spans="1:10" x14ac:dyDescent="0.25">
      <c r="A624" s="196"/>
      <c r="B624" s="197"/>
      <c r="C624" s="197"/>
      <c r="D624" s="197"/>
      <c r="E624" s="197"/>
      <c r="F624" s="197"/>
      <c r="G624" s="197"/>
      <c r="H624" s="39"/>
      <c r="I624" s="39"/>
      <c r="J624" s="39"/>
    </row>
    <row r="625" spans="1:10" x14ac:dyDescent="0.25">
      <c r="A625" s="196"/>
      <c r="B625" s="197"/>
      <c r="C625" s="197"/>
      <c r="D625" s="197"/>
      <c r="E625" s="197"/>
      <c r="F625" s="197"/>
      <c r="G625" s="197"/>
      <c r="H625" s="39"/>
      <c r="I625" s="39"/>
      <c r="J625" s="39"/>
    </row>
    <row r="626" spans="1:10" x14ac:dyDescent="0.25">
      <c r="A626" s="196"/>
      <c r="B626" s="197"/>
      <c r="C626" s="197"/>
      <c r="D626" s="197"/>
      <c r="E626" s="197"/>
      <c r="F626" s="197"/>
      <c r="G626" s="197"/>
      <c r="H626" s="39"/>
      <c r="I626" s="39"/>
      <c r="J626" s="39"/>
    </row>
    <row r="627" spans="1:10" x14ac:dyDescent="0.25">
      <c r="A627" s="196"/>
      <c r="B627" s="197"/>
      <c r="C627" s="197"/>
      <c r="D627" s="197"/>
      <c r="E627" s="197"/>
      <c r="F627" s="197"/>
      <c r="G627" s="197"/>
      <c r="H627" s="39"/>
      <c r="I627" s="39"/>
      <c r="J627" s="39"/>
    </row>
    <row r="628" spans="1:10" x14ac:dyDescent="0.25">
      <c r="A628" s="196"/>
      <c r="B628" s="197"/>
      <c r="C628" s="197"/>
      <c r="D628" s="197"/>
      <c r="E628" s="197"/>
      <c r="F628" s="197"/>
      <c r="G628" s="197"/>
      <c r="H628" s="39"/>
      <c r="I628" s="39"/>
      <c r="J628" s="39"/>
    </row>
    <row r="629" spans="1:10" x14ac:dyDescent="0.25">
      <c r="A629" s="196"/>
      <c r="B629" s="197"/>
      <c r="C629" s="197"/>
      <c r="D629" s="197"/>
      <c r="E629" s="197"/>
      <c r="F629" s="197"/>
      <c r="G629" s="197"/>
      <c r="H629" s="39"/>
      <c r="I629" s="39"/>
      <c r="J629" s="39"/>
    </row>
    <row r="630" spans="1:10" x14ac:dyDescent="0.25">
      <c r="A630" s="196"/>
      <c r="B630" s="197"/>
      <c r="C630" s="197"/>
      <c r="D630" s="197"/>
      <c r="E630" s="197"/>
      <c r="F630" s="197"/>
      <c r="G630" s="197"/>
      <c r="H630" s="39"/>
      <c r="I630" s="39"/>
      <c r="J630" s="39"/>
    </row>
    <row r="631" spans="1:10" x14ac:dyDescent="0.25">
      <c r="A631" s="196"/>
      <c r="B631" s="197"/>
      <c r="C631" s="197"/>
      <c r="D631" s="197"/>
      <c r="E631" s="197"/>
      <c r="F631" s="197"/>
      <c r="G631" s="197"/>
      <c r="H631" s="39"/>
      <c r="I631" s="39"/>
      <c r="J631" s="39"/>
    </row>
    <row r="632" spans="1:10" x14ac:dyDescent="0.25">
      <c r="A632" s="196"/>
      <c r="B632" s="197"/>
      <c r="C632" s="197"/>
      <c r="D632" s="197"/>
      <c r="E632" s="197"/>
      <c r="F632" s="197"/>
      <c r="G632" s="197"/>
      <c r="H632" s="39"/>
      <c r="I632" s="39"/>
      <c r="J632" s="39"/>
    </row>
    <row r="633" spans="1:10" x14ac:dyDescent="0.25">
      <c r="A633" s="196"/>
      <c r="B633" s="197"/>
      <c r="C633" s="197"/>
      <c r="D633" s="197"/>
      <c r="E633" s="197"/>
      <c r="F633" s="197"/>
      <c r="G633" s="197"/>
      <c r="H633" s="39"/>
      <c r="I633" s="39"/>
      <c r="J633" s="39"/>
    </row>
    <row r="634" spans="1:10" x14ac:dyDescent="0.25">
      <c r="A634" s="196"/>
      <c r="B634" s="197"/>
      <c r="C634" s="197"/>
      <c r="D634" s="197"/>
      <c r="E634" s="197"/>
      <c r="F634" s="197"/>
      <c r="G634" s="197"/>
      <c r="H634" s="39"/>
      <c r="I634" s="39"/>
      <c r="J634" s="39"/>
    </row>
    <row r="635" spans="1:10" x14ac:dyDescent="0.25">
      <c r="A635" s="196"/>
      <c r="B635" s="197"/>
      <c r="C635" s="197"/>
      <c r="D635" s="197"/>
      <c r="E635" s="197"/>
      <c r="F635" s="197"/>
      <c r="G635" s="197"/>
      <c r="H635" s="39"/>
      <c r="I635" s="39"/>
      <c r="J635" s="39"/>
    </row>
    <row r="636" spans="1:10" x14ac:dyDescent="0.25">
      <c r="A636" s="196"/>
      <c r="B636" s="197"/>
      <c r="C636" s="197"/>
      <c r="D636" s="197"/>
      <c r="E636" s="197"/>
      <c r="F636" s="197"/>
      <c r="G636" s="197"/>
      <c r="H636" s="39"/>
      <c r="I636" s="39"/>
      <c r="J636" s="39"/>
    </row>
    <row r="637" spans="1:10" x14ac:dyDescent="0.25">
      <c r="A637" s="196"/>
      <c r="B637" s="197"/>
      <c r="C637" s="197"/>
      <c r="D637" s="197"/>
      <c r="E637" s="197"/>
      <c r="F637" s="197"/>
      <c r="G637" s="197"/>
      <c r="H637" s="39"/>
      <c r="I637" s="39"/>
      <c r="J637" s="39"/>
    </row>
    <row r="638" spans="1:10" x14ac:dyDescent="0.25">
      <c r="A638" s="196"/>
      <c r="B638" s="197"/>
      <c r="C638" s="197"/>
      <c r="D638" s="197"/>
      <c r="E638" s="197"/>
      <c r="F638" s="197"/>
      <c r="G638" s="197"/>
      <c r="H638" s="39"/>
      <c r="I638" s="39"/>
      <c r="J638" s="39"/>
    </row>
    <row r="639" spans="1:10" x14ac:dyDescent="0.25">
      <c r="A639" s="196"/>
      <c r="B639" s="197"/>
      <c r="C639" s="197"/>
      <c r="D639" s="197"/>
      <c r="E639" s="197"/>
      <c r="F639" s="197"/>
      <c r="G639" s="197"/>
      <c r="H639" s="39"/>
      <c r="I639" s="39"/>
      <c r="J639" s="39"/>
    </row>
    <row r="640" spans="1:10" x14ac:dyDescent="0.25">
      <c r="A640" s="196"/>
      <c r="B640" s="197"/>
      <c r="C640" s="197"/>
      <c r="D640" s="197"/>
      <c r="E640" s="197"/>
      <c r="F640" s="197"/>
      <c r="G640" s="197"/>
      <c r="H640" s="39"/>
      <c r="I640" s="39"/>
      <c r="J640" s="39"/>
    </row>
    <row r="641" spans="1:10" x14ac:dyDescent="0.25">
      <c r="A641" s="196"/>
      <c r="B641" s="197"/>
      <c r="C641" s="197"/>
      <c r="D641" s="197"/>
      <c r="E641" s="197"/>
      <c r="F641" s="197"/>
      <c r="G641" s="197"/>
      <c r="H641" s="39"/>
      <c r="I641" s="39"/>
      <c r="J641" s="39"/>
    </row>
    <row r="642" spans="1:10" x14ac:dyDescent="0.25">
      <c r="A642" s="196"/>
      <c r="B642" s="197"/>
      <c r="C642" s="197"/>
      <c r="D642" s="197"/>
      <c r="E642" s="197"/>
      <c r="F642" s="197"/>
      <c r="G642" s="197"/>
      <c r="H642" s="39"/>
      <c r="I642" s="39"/>
      <c r="J642" s="39"/>
    </row>
    <row r="643" spans="1:10" x14ac:dyDescent="0.25">
      <c r="A643" s="196"/>
      <c r="B643" s="197"/>
      <c r="C643" s="197"/>
      <c r="D643" s="197"/>
      <c r="E643" s="197"/>
      <c r="F643" s="197"/>
      <c r="G643" s="197"/>
      <c r="H643" s="39"/>
      <c r="I643" s="39"/>
      <c r="J643" s="39"/>
    </row>
    <row r="644" spans="1:10" x14ac:dyDescent="0.25">
      <c r="A644" s="196"/>
      <c r="B644" s="197"/>
      <c r="C644" s="197"/>
      <c r="D644" s="197"/>
      <c r="E644" s="197"/>
      <c r="F644" s="197"/>
      <c r="G644" s="197"/>
      <c r="H644" s="39"/>
      <c r="I644" s="39"/>
      <c r="J644" s="39"/>
    </row>
    <row r="645" spans="1:10" x14ac:dyDescent="0.25">
      <c r="A645" s="196"/>
      <c r="B645" s="197"/>
      <c r="C645" s="197"/>
      <c r="D645" s="197"/>
      <c r="E645" s="197"/>
      <c r="F645" s="197"/>
      <c r="G645" s="197"/>
      <c r="H645" s="39"/>
      <c r="I645" s="39"/>
      <c r="J645" s="39"/>
    </row>
    <row r="646" spans="1:10" x14ac:dyDescent="0.25">
      <c r="A646" s="196"/>
      <c r="B646" s="197"/>
      <c r="C646" s="197"/>
      <c r="D646" s="197"/>
      <c r="E646" s="197"/>
      <c r="F646" s="197"/>
      <c r="G646" s="197"/>
      <c r="H646" s="39"/>
      <c r="I646" s="39"/>
      <c r="J646" s="39"/>
    </row>
    <row r="647" spans="1:10" x14ac:dyDescent="0.25">
      <c r="A647" s="196"/>
      <c r="B647" s="197"/>
      <c r="C647" s="197"/>
      <c r="D647" s="197"/>
      <c r="E647" s="197"/>
      <c r="F647" s="197"/>
      <c r="G647" s="197"/>
      <c r="H647" s="39"/>
      <c r="I647" s="39"/>
      <c r="J647" s="39"/>
    </row>
    <row r="648" spans="1:10" x14ac:dyDescent="0.25">
      <c r="A648" s="196"/>
      <c r="B648" s="197"/>
      <c r="C648" s="197"/>
      <c r="D648" s="197"/>
      <c r="E648" s="197"/>
      <c r="F648" s="197"/>
      <c r="G648" s="197"/>
      <c r="H648" s="39"/>
      <c r="I648" s="39"/>
      <c r="J648" s="39"/>
    </row>
    <row r="649" spans="1:10" x14ac:dyDescent="0.25">
      <c r="A649" s="196"/>
      <c r="B649" s="197"/>
      <c r="C649" s="197"/>
      <c r="D649" s="197"/>
      <c r="E649" s="197"/>
      <c r="F649" s="197"/>
      <c r="G649" s="197"/>
      <c r="H649" s="39"/>
      <c r="I649" s="39"/>
      <c r="J649" s="39"/>
    </row>
    <row r="650" spans="1:10" x14ac:dyDescent="0.25">
      <c r="A650" s="196"/>
      <c r="B650" s="197"/>
      <c r="C650" s="197"/>
      <c r="D650" s="197"/>
      <c r="E650" s="197"/>
      <c r="F650" s="197"/>
      <c r="G650" s="197"/>
      <c r="H650" s="39"/>
      <c r="I650" s="39"/>
      <c r="J650" s="39"/>
    </row>
    <row r="651" spans="1:10" x14ac:dyDescent="0.25">
      <c r="A651" s="196"/>
      <c r="B651" s="197"/>
      <c r="C651" s="197"/>
      <c r="D651" s="197"/>
      <c r="E651" s="197"/>
      <c r="F651" s="197"/>
      <c r="G651" s="197"/>
      <c r="H651" s="39"/>
      <c r="I651" s="39"/>
      <c r="J651" s="39"/>
    </row>
    <row r="652" spans="1:10" x14ac:dyDescent="0.25">
      <c r="A652" s="196"/>
      <c r="B652" s="197"/>
      <c r="C652" s="197"/>
      <c r="D652" s="197"/>
      <c r="E652" s="197"/>
      <c r="F652" s="197"/>
      <c r="G652" s="197"/>
      <c r="H652" s="39"/>
      <c r="I652" s="39"/>
      <c r="J652" s="39"/>
    </row>
    <row r="653" spans="1:10" x14ac:dyDescent="0.25">
      <c r="A653" s="196"/>
      <c r="B653" s="197"/>
      <c r="C653" s="197"/>
      <c r="D653" s="197"/>
      <c r="E653" s="197"/>
      <c r="F653" s="197"/>
      <c r="G653" s="197"/>
      <c r="H653" s="39"/>
      <c r="I653" s="39"/>
      <c r="J653" s="39"/>
    </row>
    <row r="654" spans="1:10" x14ac:dyDescent="0.25">
      <c r="A654" s="196"/>
      <c r="B654" s="197"/>
      <c r="C654" s="197"/>
      <c r="D654" s="197"/>
      <c r="E654" s="197"/>
      <c r="F654" s="197"/>
      <c r="G654" s="197"/>
      <c r="H654" s="39"/>
      <c r="I654" s="39"/>
      <c r="J654" s="39"/>
    </row>
    <row r="655" spans="1:10" x14ac:dyDescent="0.25">
      <c r="A655" s="196"/>
      <c r="B655" s="197"/>
      <c r="C655" s="197"/>
      <c r="D655" s="197"/>
      <c r="E655" s="197"/>
      <c r="F655" s="197"/>
      <c r="G655" s="197"/>
      <c r="H655" s="39"/>
      <c r="I655" s="39"/>
      <c r="J655" s="39"/>
    </row>
    <row r="656" spans="1:10" x14ac:dyDescent="0.25">
      <c r="A656" s="196"/>
      <c r="B656" s="197"/>
      <c r="C656" s="197"/>
      <c r="D656" s="197"/>
      <c r="E656" s="197"/>
      <c r="F656" s="197"/>
      <c r="G656" s="197"/>
      <c r="H656" s="39"/>
      <c r="I656" s="39"/>
      <c r="J656" s="39"/>
    </row>
    <row r="657" spans="1:10" x14ac:dyDescent="0.25">
      <c r="A657" s="196"/>
      <c r="B657" s="197"/>
      <c r="C657" s="197"/>
      <c r="D657" s="197"/>
      <c r="E657" s="197"/>
      <c r="F657" s="197"/>
      <c r="G657" s="197"/>
      <c r="H657" s="39"/>
      <c r="I657" s="39"/>
      <c r="J657" s="39"/>
    </row>
    <row r="658" spans="1:10" x14ac:dyDescent="0.25">
      <c r="A658" s="196"/>
      <c r="B658" s="197"/>
      <c r="C658" s="197"/>
      <c r="D658" s="197"/>
      <c r="E658" s="197"/>
      <c r="F658" s="197"/>
      <c r="G658" s="197"/>
      <c r="H658" s="39"/>
      <c r="I658" s="39"/>
      <c r="J658" s="39"/>
    </row>
    <row r="659" spans="1:10" x14ac:dyDescent="0.25">
      <c r="A659" s="196"/>
      <c r="B659" s="197"/>
      <c r="C659" s="197"/>
      <c r="D659" s="197"/>
      <c r="E659" s="197"/>
      <c r="F659" s="197"/>
      <c r="G659" s="197"/>
      <c r="H659" s="39"/>
      <c r="I659" s="39"/>
      <c r="J659" s="39"/>
    </row>
    <row r="660" spans="1:10" x14ac:dyDescent="0.25">
      <c r="A660" s="196"/>
      <c r="B660" s="197"/>
      <c r="C660" s="197"/>
      <c r="D660" s="197"/>
      <c r="E660" s="197"/>
      <c r="F660" s="197"/>
      <c r="G660" s="197"/>
      <c r="H660" s="39"/>
      <c r="I660" s="39"/>
      <c r="J660" s="39"/>
    </row>
    <row r="661" spans="1:10" x14ac:dyDescent="0.25">
      <c r="A661" s="196"/>
      <c r="B661" s="197"/>
      <c r="C661" s="197"/>
      <c r="D661" s="197"/>
      <c r="E661" s="197"/>
      <c r="F661" s="197"/>
      <c r="G661" s="197"/>
      <c r="H661" s="39"/>
      <c r="I661" s="39"/>
      <c r="J661" s="39"/>
    </row>
    <row r="662" spans="1:10" x14ac:dyDescent="0.25">
      <c r="A662" s="196"/>
      <c r="B662" s="197"/>
      <c r="C662" s="197"/>
      <c r="D662" s="197"/>
      <c r="E662" s="197"/>
      <c r="F662" s="197"/>
      <c r="G662" s="197"/>
      <c r="H662" s="39"/>
      <c r="I662" s="39"/>
      <c r="J662" s="39"/>
    </row>
    <row r="663" spans="1:10" x14ac:dyDescent="0.25">
      <c r="A663" s="196"/>
      <c r="B663" s="197"/>
      <c r="C663" s="197"/>
      <c r="D663" s="197"/>
      <c r="E663" s="197"/>
      <c r="F663" s="197"/>
      <c r="G663" s="197"/>
      <c r="H663" s="39"/>
      <c r="I663" s="39"/>
      <c r="J663" s="39"/>
    </row>
    <row r="664" spans="1:10" x14ac:dyDescent="0.25">
      <c r="A664" s="196"/>
      <c r="B664" s="197"/>
      <c r="C664" s="197"/>
      <c r="D664" s="197"/>
      <c r="E664" s="197"/>
      <c r="F664" s="197"/>
      <c r="G664" s="197"/>
      <c r="H664" s="39"/>
      <c r="I664" s="39"/>
      <c r="J664" s="39"/>
    </row>
    <row r="665" spans="1:10" x14ac:dyDescent="0.25">
      <c r="A665" s="196"/>
      <c r="B665" s="197"/>
      <c r="C665" s="197"/>
      <c r="D665" s="197"/>
      <c r="E665" s="197"/>
      <c r="F665" s="197"/>
      <c r="G665" s="197"/>
      <c r="H665" s="39"/>
      <c r="I665" s="39"/>
      <c r="J665" s="39"/>
    </row>
    <row r="666" spans="1:10" x14ac:dyDescent="0.25">
      <c r="A666" s="196"/>
      <c r="B666" s="197"/>
      <c r="C666" s="197"/>
      <c r="D666" s="197"/>
      <c r="E666" s="197"/>
      <c r="F666" s="197"/>
      <c r="G666" s="197"/>
      <c r="H666" s="39"/>
      <c r="I666" s="39"/>
      <c r="J666" s="39"/>
    </row>
    <row r="667" spans="1:10" x14ac:dyDescent="0.25">
      <c r="A667" s="196"/>
      <c r="B667" s="197"/>
      <c r="C667" s="197"/>
      <c r="D667" s="197"/>
      <c r="E667" s="197"/>
      <c r="F667" s="197"/>
      <c r="G667" s="197"/>
      <c r="H667" s="39"/>
      <c r="I667" s="39"/>
      <c r="J667" s="39"/>
    </row>
    <row r="668" spans="1:10" x14ac:dyDescent="0.25">
      <c r="A668" s="196"/>
      <c r="B668" s="197"/>
      <c r="C668" s="197"/>
      <c r="D668" s="197"/>
      <c r="E668" s="197"/>
      <c r="F668" s="197"/>
      <c r="G668" s="197"/>
      <c r="H668" s="39"/>
      <c r="I668" s="39"/>
      <c r="J668" s="39"/>
    </row>
    <row r="669" spans="1:10" x14ac:dyDescent="0.25">
      <c r="A669" s="196"/>
      <c r="B669" s="197"/>
      <c r="C669" s="197"/>
      <c r="D669" s="197"/>
      <c r="E669" s="197"/>
      <c r="F669" s="197"/>
      <c r="G669" s="197"/>
      <c r="H669" s="39"/>
      <c r="I669" s="39"/>
      <c r="J669" s="39"/>
    </row>
    <row r="670" spans="1:10" x14ac:dyDescent="0.25">
      <c r="A670" s="196"/>
      <c r="B670" s="197"/>
      <c r="C670" s="197"/>
      <c r="D670" s="197"/>
      <c r="E670" s="197"/>
      <c r="F670" s="197"/>
      <c r="G670" s="197"/>
      <c r="H670" s="39"/>
      <c r="I670" s="39"/>
      <c r="J670" s="39"/>
    </row>
    <row r="671" spans="1:10" x14ac:dyDescent="0.25">
      <c r="A671" s="196"/>
      <c r="B671" s="197"/>
      <c r="C671" s="197"/>
      <c r="D671" s="197"/>
      <c r="E671" s="197"/>
      <c r="F671" s="197"/>
      <c r="G671" s="197"/>
      <c r="H671" s="39"/>
      <c r="I671" s="39"/>
      <c r="J671" s="39"/>
    </row>
    <row r="672" spans="1:10" x14ac:dyDescent="0.25">
      <c r="A672" s="196"/>
      <c r="B672" s="197"/>
      <c r="C672" s="197"/>
      <c r="D672" s="197"/>
      <c r="E672" s="197"/>
      <c r="F672" s="197"/>
      <c r="G672" s="197"/>
      <c r="H672" s="39"/>
      <c r="I672" s="39"/>
      <c r="J672" s="39"/>
    </row>
    <row r="673" spans="1:10" x14ac:dyDescent="0.25">
      <c r="A673" s="196"/>
      <c r="B673" s="197"/>
      <c r="C673" s="197"/>
      <c r="D673" s="197"/>
      <c r="E673" s="197"/>
      <c r="F673" s="197"/>
      <c r="G673" s="197"/>
      <c r="H673" s="39"/>
      <c r="I673" s="39"/>
      <c r="J673" s="39"/>
    </row>
    <row r="674" spans="1:10" x14ac:dyDescent="0.25">
      <c r="A674" s="196"/>
      <c r="B674" s="197"/>
      <c r="C674" s="197"/>
      <c r="D674" s="197"/>
      <c r="E674" s="197"/>
      <c r="F674" s="197"/>
      <c r="G674" s="197"/>
      <c r="H674" s="39"/>
      <c r="I674" s="39"/>
      <c r="J674" s="39"/>
    </row>
    <row r="675" spans="1:10" x14ac:dyDescent="0.25">
      <c r="A675" s="196"/>
      <c r="B675" s="197"/>
      <c r="C675" s="197"/>
      <c r="D675" s="197"/>
      <c r="E675" s="197"/>
      <c r="F675" s="197"/>
      <c r="G675" s="197"/>
      <c r="H675" s="39"/>
      <c r="I675" s="39"/>
      <c r="J675" s="39"/>
    </row>
    <row r="676" spans="1:10" x14ac:dyDescent="0.25">
      <c r="A676" s="196"/>
      <c r="B676" s="197"/>
      <c r="C676" s="197"/>
      <c r="D676" s="197"/>
      <c r="E676" s="197"/>
      <c r="F676" s="197"/>
      <c r="G676" s="197"/>
      <c r="H676" s="39"/>
      <c r="I676" s="39"/>
      <c r="J676" s="39"/>
    </row>
    <row r="677" spans="1:10" x14ac:dyDescent="0.25">
      <c r="A677" s="196"/>
      <c r="B677" s="197"/>
      <c r="C677" s="197"/>
      <c r="D677" s="197"/>
      <c r="E677" s="197"/>
      <c r="F677" s="197"/>
      <c r="G677" s="197"/>
      <c r="H677" s="39"/>
      <c r="I677" s="39"/>
      <c r="J677" s="39"/>
    </row>
    <row r="678" spans="1:10" x14ac:dyDescent="0.25">
      <c r="A678" s="196"/>
      <c r="B678" s="197"/>
      <c r="C678" s="197"/>
      <c r="D678" s="197"/>
      <c r="E678" s="197"/>
      <c r="F678" s="197"/>
      <c r="G678" s="197"/>
      <c r="H678" s="39"/>
      <c r="I678" s="39"/>
      <c r="J678" s="39"/>
    </row>
    <row r="679" spans="1:10" x14ac:dyDescent="0.25">
      <c r="A679" s="196"/>
      <c r="B679" s="197"/>
      <c r="C679" s="197"/>
      <c r="D679" s="197"/>
      <c r="E679" s="197"/>
      <c r="F679" s="197"/>
      <c r="G679" s="197"/>
      <c r="H679" s="39"/>
      <c r="I679" s="39"/>
      <c r="J679" s="39"/>
    </row>
    <row r="680" spans="1:10" x14ac:dyDescent="0.25">
      <c r="A680" s="196"/>
      <c r="B680" s="197"/>
      <c r="C680" s="197"/>
      <c r="D680" s="197"/>
      <c r="E680" s="197"/>
      <c r="F680" s="197"/>
      <c r="G680" s="197"/>
      <c r="H680" s="39"/>
      <c r="I680" s="39"/>
      <c r="J680" s="39"/>
    </row>
    <row r="681" spans="1:10" x14ac:dyDescent="0.25">
      <c r="A681" s="196"/>
      <c r="B681" s="197"/>
      <c r="C681" s="197"/>
      <c r="D681" s="197"/>
      <c r="E681" s="197"/>
      <c r="F681" s="197"/>
      <c r="G681" s="197"/>
      <c r="H681" s="39"/>
      <c r="I681" s="39"/>
      <c r="J681" s="39"/>
    </row>
    <row r="682" spans="1:10" x14ac:dyDescent="0.25">
      <c r="A682" s="196"/>
      <c r="B682" s="197"/>
      <c r="C682" s="197"/>
      <c r="D682" s="197"/>
      <c r="E682" s="197"/>
      <c r="F682" s="197"/>
      <c r="G682" s="197"/>
      <c r="H682" s="39"/>
      <c r="I682" s="39"/>
      <c r="J682" s="39"/>
    </row>
    <row r="683" spans="1:10" x14ac:dyDescent="0.25">
      <c r="A683" s="196"/>
      <c r="B683" s="197"/>
      <c r="C683" s="197"/>
      <c r="D683" s="197"/>
      <c r="E683" s="197"/>
      <c r="F683" s="197"/>
      <c r="G683" s="197"/>
      <c r="H683" s="39"/>
      <c r="I683" s="39"/>
      <c r="J683" s="39"/>
    </row>
    <row r="684" spans="1:10" x14ac:dyDescent="0.25">
      <c r="A684" s="196"/>
      <c r="B684" s="197"/>
      <c r="C684" s="197"/>
      <c r="D684" s="197"/>
      <c r="E684" s="197"/>
      <c r="F684" s="197"/>
      <c r="G684" s="197"/>
      <c r="H684" s="39"/>
      <c r="I684" s="39"/>
      <c r="J684" s="39"/>
    </row>
    <row r="685" spans="1:10" x14ac:dyDescent="0.25">
      <c r="A685" s="196"/>
      <c r="B685" s="197"/>
      <c r="C685" s="197"/>
      <c r="D685" s="197"/>
      <c r="E685" s="197"/>
      <c r="F685" s="197"/>
      <c r="G685" s="197"/>
      <c r="H685" s="39"/>
      <c r="I685" s="39"/>
      <c r="J685" s="39"/>
    </row>
    <row r="686" spans="1:10" x14ac:dyDescent="0.25">
      <c r="A686" s="196"/>
      <c r="B686" s="197"/>
      <c r="C686" s="197"/>
      <c r="D686" s="197"/>
      <c r="E686" s="197"/>
      <c r="F686" s="197"/>
      <c r="G686" s="197"/>
      <c r="H686" s="39"/>
      <c r="I686" s="39"/>
      <c r="J686" s="39"/>
    </row>
    <row r="687" spans="1:10" x14ac:dyDescent="0.25">
      <c r="A687" s="196"/>
      <c r="B687" s="197"/>
      <c r="C687" s="197"/>
      <c r="D687" s="197"/>
      <c r="E687" s="197"/>
      <c r="F687" s="197"/>
      <c r="G687" s="197"/>
      <c r="H687" s="39"/>
      <c r="I687" s="39"/>
      <c r="J687" s="39"/>
    </row>
    <row r="688" spans="1:10" x14ac:dyDescent="0.25">
      <c r="A688" s="196"/>
      <c r="B688" s="197"/>
      <c r="C688" s="197"/>
      <c r="D688" s="197"/>
      <c r="E688" s="197"/>
      <c r="F688" s="197"/>
      <c r="G688" s="197"/>
      <c r="H688" s="39"/>
      <c r="I688" s="39"/>
      <c r="J688" s="39"/>
    </row>
    <row r="689" spans="1:10" x14ac:dyDescent="0.25">
      <c r="A689" s="196"/>
      <c r="B689" s="197"/>
      <c r="C689" s="197"/>
      <c r="D689" s="197"/>
      <c r="E689" s="197"/>
      <c r="F689" s="197"/>
      <c r="G689" s="197"/>
      <c r="H689" s="39"/>
      <c r="I689" s="39"/>
      <c r="J689" s="39"/>
    </row>
    <row r="690" spans="1:10" x14ac:dyDescent="0.25">
      <c r="A690" s="196"/>
      <c r="B690" s="197"/>
      <c r="C690" s="197"/>
      <c r="D690" s="197"/>
      <c r="E690" s="197"/>
      <c r="F690" s="197"/>
      <c r="G690" s="197"/>
      <c r="H690" s="39"/>
      <c r="I690" s="39"/>
      <c r="J690" s="39"/>
    </row>
    <row r="691" spans="1:10" x14ac:dyDescent="0.25">
      <c r="A691" s="196"/>
      <c r="B691" s="197"/>
      <c r="C691" s="197"/>
      <c r="D691" s="197"/>
      <c r="E691" s="197"/>
      <c r="F691" s="197"/>
      <c r="G691" s="197"/>
      <c r="H691" s="39"/>
      <c r="I691" s="39"/>
      <c r="J691" s="39"/>
    </row>
    <row r="692" spans="1:10" x14ac:dyDescent="0.25">
      <c r="A692" s="196"/>
      <c r="B692" s="197"/>
      <c r="C692" s="197"/>
      <c r="D692" s="197"/>
      <c r="E692" s="197"/>
      <c r="F692" s="197"/>
      <c r="G692" s="197"/>
      <c r="H692" s="39"/>
      <c r="I692" s="39"/>
      <c r="J692" s="39"/>
    </row>
    <row r="693" spans="1:10" x14ac:dyDescent="0.25">
      <c r="A693" s="196"/>
      <c r="B693" s="197"/>
      <c r="C693" s="197"/>
      <c r="D693" s="197"/>
      <c r="E693" s="197"/>
      <c r="F693" s="197"/>
      <c r="G693" s="197"/>
      <c r="H693" s="39"/>
      <c r="I693" s="39"/>
      <c r="J693" s="39"/>
    </row>
    <row r="694" spans="1:10" x14ac:dyDescent="0.25">
      <c r="A694" s="196"/>
      <c r="B694" s="197"/>
      <c r="C694" s="197"/>
      <c r="D694" s="197"/>
      <c r="E694" s="197"/>
      <c r="F694" s="197"/>
      <c r="G694" s="197"/>
      <c r="H694" s="39"/>
      <c r="I694" s="39"/>
      <c r="J694" s="39"/>
    </row>
    <row r="695" spans="1:10" x14ac:dyDescent="0.25">
      <c r="A695" s="196"/>
      <c r="B695" s="197"/>
      <c r="C695" s="197"/>
      <c r="D695" s="197"/>
      <c r="E695" s="197"/>
      <c r="F695" s="197"/>
      <c r="G695" s="197"/>
      <c r="H695" s="39"/>
      <c r="I695" s="39"/>
      <c r="J695" s="39"/>
    </row>
    <row r="696" spans="1:10" x14ac:dyDescent="0.25">
      <c r="A696" s="196"/>
      <c r="B696" s="197"/>
      <c r="C696" s="197"/>
      <c r="D696" s="197"/>
      <c r="E696" s="197"/>
      <c r="F696" s="197"/>
      <c r="G696" s="197"/>
      <c r="H696" s="39"/>
      <c r="I696" s="39"/>
      <c r="J696" s="39"/>
    </row>
    <row r="697" spans="1:10" x14ac:dyDescent="0.25">
      <c r="A697" s="196"/>
      <c r="B697" s="197"/>
      <c r="C697" s="197"/>
      <c r="D697" s="197"/>
      <c r="E697" s="197"/>
      <c r="F697" s="197"/>
      <c r="G697" s="197"/>
      <c r="H697" s="39"/>
      <c r="I697" s="39"/>
      <c r="J697" s="39"/>
    </row>
    <row r="698" spans="1:10" x14ac:dyDescent="0.25">
      <c r="A698" s="196"/>
      <c r="B698" s="197"/>
      <c r="C698" s="197"/>
      <c r="D698" s="197"/>
      <c r="E698" s="197"/>
      <c r="F698" s="197"/>
      <c r="G698" s="197"/>
      <c r="H698" s="39"/>
      <c r="I698" s="39"/>
      <c r="J698" s="39"/>
    </row>
    <row r="699" spans="1:10" x14ac:dyDescent="0.25">
      <c r="A699" s="196"/>
      <c r="B699" s="197"/>
      <c r="C699" s="197"/>
      <c r="D699" s="197"/>
      <c r="E699" s="197"/>
      <c r="F699" s="197"/>
      <c r="G699" s="197"/>
      <c r="H699" s="39"/>
      <c r="I699" s="39"/>
      <c r="J699" s="39"/>
    </row>
    <row r="700" spans="1:10" x14ac:dyDescent="0.25">
      <c r="A700" s="196"/>
      <c r="B700" s="197"/>
      <c r="C700" s="197"/>
      <c r="D700" s="197"/>
      <c r="E700" s="197"/>
      <c r="F700" s="197"/>
      <c r="G700" s="197"/>
      <c r="H700" s="39"/>
      <c r="I700" s="39"/>
      <c r="J700" s="39"/>
    </row>
    <row r="701" spans="1:10" x14ac:dyDescent="0.25">
      <c r="A701" s="196"/>
      <c r="B701" s="197"/>
      <c r="C701" s="197"/>
      <c r="D701" s="197"/>
      <c r="E701" s="197"/>
      <c r="F701" s="197"/>
      <c r="G701" s="197"/>
      <c r="H701" s="39"/>
      <c r="I701" s="39"/>
      <c r="J701" s="39"/>
    </row>
    <row r="702" spans="1:10" x14ac:dyDescent="0.25">
      <c r="A702" s="196"/>
      <c r="B702" s="197"/>
      <c r="C702" s="197"/>
      <c r="D702" s="197"/>
      <c r="E702" s="197"/>
      <c r="F702" s="197"/>
      <c r="G702" s="197"/>
      <c r="H702" s="39"/>
      <c r="I702" s="39"/>
      <c r="J702" s="39"/>
    </row>
    <row r="703" spans="1:10" x14ac:dyDescent="0.25">
      <c r="A703" s="196"/>
      <c r="B703" s="197"/>
      <c r="C703" s="197"/>
      <c r="D703" s="197"/>
      <c r="E703" s="197"/>
      <c r="F703" s="197"/>
      <c r="G703" s="197"/>
      <c r="H703" s="39"/>
      <c r="I703" s="39"/>
      <c r="J703" s="39"/>
    </row>
    <row r="704" spans="1:10" x14ac:dyDescent="0.25">
      <c r="A704" s="196"/>
      <c r="B704" s="197"/>
      <c r="C704" s="197"/>
      <c r="D704" s="197"/>
      <c r="E704" s="197"/>
      <c r="F704" s="197"/>
      <c r="G704" s="197"/>
      <c r="H704" s="39"/>
      <c r="I704" s="39"/>
      <c r="J704" s="39"/>
    </row>
    <row r="705" spans="1:10" x14ac:dyDescent="0.25">
      <c r="A705" s="196"/>
      <c r="B705" s="197"/>
      <c r="C705" s="197"/>
      <c r="D705" s="197"/>
      <c r="E705" s="197"/>
      <c r="F705" s="197"/>
      <c r="G705" s="197"/>
      <c r="H705" s="39"/>
      <c r="I705" s="39"/>
      <c r="J705" s="39"/>
    </row>
    <row r="706" spans="1:10" x14ac:dyDescent="0.25">
      <c r="A706" s="196"/>
      <c r="B706" s="197"/>
      <c r="C706" s="197"/>
      <c r="D706" s="197"/>
      <c r="E706" s="197"/>
      <c r="F706" s="197"/>
      <c r="G706" s="197"/>
      <c r="H706" s="39"/>
      <c r="I706" s="39"/>
      <c r="J706" s="39"/>
    </row>
    <row r="707" spans="1:10" x14ac:dyDescent="0.25">
      <c r="A707" s="196"/>
      <c r="B707" s="197"/>
      <c r="C707" s="197"/>
      <c r="D707" s="197"/>
      <c r="E707" s="197"/>
      <c r="F707" s="197"/>
      <c r="G707" s="197"/>
      <c r="H707" s="39"/>
      <c r="I707" s="39"/>
      <c r="J707" s="39"/>
    </row>
    <row r="708" spans="1:10" x14ac:dyDescent="0.25">
      <c r="A708" s="196"/>
      <c r="B708" s="197"/>
      <c r="C708" s="197"/>
      <c r="D708" s="197"/>
      <c r="E708" s="197"/>
      <c r="F708" s="197"/>
      <c r="G708" s="197"/>
      <c r="H708" s="39"/>
      <c r="I708" s="39"/>
      <c r="J708" s="39"/>
    </row>
    <row r="709" spans="1:10" x14ac:dyDescent="0.25">
      <c r="A709" s="196"/>
      <c r="B709" s="197"/>
      <c r="C709" s="197"/>
      <c r="D709" s="197"/>
      <c r="E709" s="197"/>
      <c r="F709" s="197"/>
      <c r="G709" s="197"/>
      <c r="H709" s="39"/>
      <c r="I709" s="39"/>
      <c r="J709" s="39"/>
    </row>
    <row r="710" spans="1:10" x14ac:dyDescent="0.25">
      <c r="A710" s="196"/>
      <c r="B710" s="197"/>
      <c r="C710" s="197"/>
      <c r="D710" s="197"/>
      <c r="E710" s="197"/>
      <c r="F710" s="197"/>
      <c r="G710" s="197"/>
      <c r="H710" s="39"/>
      <c r="I710" s="39"/>
      <c r="J710" s="39"/>
    </row>
    <row r="711" spans="1:10" x14ac:dyDescent="0.25">
      <c r="A711" s="196"/>
      <c r="B711" s="197"/>
      <c r="C711" s="197"/>
      <c r="D711" s="197"/>
      <c r="E711" s="197"/>
      <c r="F711" s="197"/>
      <c r="G711" s="197"/>
      <c r="H711" s="39"/>
      <c r="I711" s="39"/>
      <c r="J711" s="39"/>
    </row>
    <row r="712" spans="1:10" x14ac:dyDescent="0.25">
      <c r="A712" s="196"/>
      <c r="B712" s="197"/>
      <c r="C712" s="197"/>
      <c r="D712" s="197"/>
      <c r="E712" s="197"/>
      <c r="F712" s="197"/>
      <c r="G712" s="197"/>
      <c r="H712" s="39"/>
      <c r="I712" s="39"/>
      <c r="J712" s="39"/>
    </row>
    <row r="713" spans="1:10" x14ac:dyDescent="0.25">
      <c r="A713" s="196"/>
      <c r="B713" s="197"/>
      <c r="C713" s="197"/>
      <c r="D713" s="197"/>
      <c r="E713" s="197"/>
      <c r="F713" s="197"/>
      <c r="G713" s="197"/>
      <c r="H713" s="39"/>
      <c r="I713" s="39"/>
      <c r="J713" s="39"/>
    </row>
    <row r="714" spans="1:10" x14ac:dyDescent="0.25">
      <c r="A714" s="196"/>
      <c r="B714" s="197"/>
      <c r="C714" s="197"/>
      <c r="D714" s="197"/>
      <c r="E714" s="197"/>
      <c r="F714" s="197"/>
      <c r="G714" s="197"/>
      <c r="H714" s="39"/>
      <c r="I714" s="39"/>
      <c r="J714" s="39"/>
    </row>
    <row r="715" spans="1:10" x14ac:dyDescent="0.25">
      <c r="A715" s="196"/>
      <c r="B715" s="197"/>
      <c r="C715" s="197"/>
      <c r="D715" s="197"/>
      <c r="E715" s="197"/>
      <c r="F715" s="197"/>
      <c r="G715" s="197"/>
      <c r="H715" s="39"/>
      <c r="I715" s="39"/>
      <c r="J715" s="39"/>
    </row>
    <row r="716" spans="1:10" x14ac:dyDescent="0.25">
      <c r="A716" s="196"/>
      <c r="B716" s="197"/>
      <c r="C716" s="197"/>
      <c r="D716" s="197"/>
      <c r="E716" s="197"/>
      <c r="F716" s="197"/>
      <c r="G716" s="197"/>
      <c r="H716" s="39"/>
      <c r="I716" s="39"/>
      <c r="J716" s="39"/>
    </row>
    <row r="717" spans="1:10" x14ac:dyDescent="0.25">
      <c r="A717" s="196"/>
      <c r="B717" s="197"/>
      <c r="C717" s="197"/>
      <c r="D717" s="197"/>
      <c r="E717" s="197"/>
      <c r="F717" s="197"/>
      <c r="G717" s="197"/>
      <c r="H717" s="39"/>
      <c r="I717" s="39"/>
      <c r="J717" s="39"/>
    </row>
    <row r="718" spans="1:10" x14ac:dyDescent="0.25">
      <c r="A718" s="196"/>
      <c r="B718" s="197"/>
      <c r="C718" s="197"/>
      <c r="D718" s="197"/>
      <c r="E718" s="197"/>
      <c r="F718" s="197"/>
      <c r="G718" s="197"/>
      <c r="H718" s="39"/>
      <c r="I718" s="39"/>
      <c r="J718" s="39"/>
    </row>
    <row r="719" spans="1:10" x14ac:dyDescent="0.25">
      <c r="A719" s="196"/>
      <c r="B719" s="197"/>
      <c r="C719" s="197"/>
      <c r="D719" s="197"/>
      <c r="E719" s="197"/>
      <c r="F719" s="197"/>
      <c r="G719" s="197"/>
      <c r="H719" s="39"/>
      <c r="I719" s="39"/>
      <c r="J719" s="39"/>
    </row>
    <row r="720" spans="1:10" x14ac:dyDescent="0.25">
      <c r="A720" s="196"/>
      <c r="B720" s="197"/>
      <c r="C720" s="197"/>
      <c r="D720" s="197"/>
      <c r="E720" s="197"/>
      <c r="F720" s="197"/>
      <c r="G720" s="197"/>
      <c r="H720" s="39"/>
      <c r="I720" s="39"/>
      <c r="J720" s="39"/>
    </row>
    <row r="721" spans="1:10" x14ac:dyDescent="0.25">
      <c r="A721" s="196"/>
      <c r="B721" s="197"/>
      <c r="C721" s="197"/>
      <c r="D721" s="197"/>
      <c r="E721" s="197"/>
      <c r="F721" s="197"/>
      <c r="G721" s="197"/>
      <c r="H721" s="39"/>
      <c r="I721" s="39"/>
      <c r="J721" s="39"/>
    </row>
    <row r="722" spans="1:10" x14ac:dyDescent="0.25">
      <c r="A722" s="196"/>
      <c r="B722" s="197"/>
      <c r="C722" s="197"/>
      <c r="D722" s="197"/>
      <c r="E722" s="197"/>
      <c r="F722" s="197"/>
      <c r="G722" s="197"/>
      <c r="H722" s="39"/>
      <c r="I722" s="39"/>
      <c r="J722" s="39"/>
    </row>
    <row r="723" spans="1:10" x14ac:dyDescent="0.25">
      <c r="A723" s="196"/>
      <c r="B723" s="197"/>
      <c r="C723" s="197"/>
      <c r="D723" s="197"/>
      <c r="E723" s="197"/>
      <c r="F723" s="197"/>
      <c r="G723" s="197"/>
      <c r="H723" s="39"/>
      <c r="I723" s="39"/>
      <c r="J723" s="39"/>
    </row>
    <row r="724" spans="1:10" x14ac:dyDescent="0.25">
      <c r="A724" s="196"/>
      <c r="B724" s="197"/>
      <c r="C724" s="197"/>
      <c r="D724" s="197"/>
      <c r="E724" s="197"/>
      <c r="F724" s="197"/>
      <c r="G724" s="197"/>
      <c r="H724" s="39"/>
      <c r="I724" s="39"/>
      <c r="J724" s="39"/>
    </row>
    <row r="725" spans="1:10" x14ac:dyDescent="0.25">
      <c r="A725" s="196"/>
      <c r="B725" s="197"/>
      <c r="C725" s="197"/>
      <c r="D725" s="197"/>
      <c r="E725" s="197"/>
      <c r="F725" s="197"/>
      <c r="G725" s="197"/>
      <c r="H725" s="39"/>
      <c r="I725" s="39"/>
      <c r="J725" s="39"/>
    </row>
    <row r="726" spans="1:10" x14ac:dyDescent="0.25">
      <c r="A726" s="196"/>
      <c r="B726" s="197"/>
      <c r="C726" s="197"/>
      <c r="D726" s="197"/>
      <c r="E726" s="197"/>
      <c r="F726" s="197"/>
      <c r="G726" s="197"/>
      <c r="H726" s="39"/>
      <c r="I726" s="39"/>
      <c r="J726" s="39"/>
    </row>
    <row r="727" spans="1:10" x14ac:dyDescent="0.25">
      <c r="A727" s="196"/>
      <c r="B727" s="197"/>
      <c r="C727" s="197"/>
      <c r="D727" s="197"/>
      <c r="E727" s="197"/>
      <c r="F727" s="197"/>
      <c r="G727" s="197"/>
      <c r="H727" s="39"/>
      <c r="I727" s="39"/>
      <c r="J727" s="39"/>
    </row>
    <row r="728" spans="1:10" x14ac:dyDescent="0.25">
      <c r="A728" s="196"/>
      <c r="B728" s="197"/>
      <c r="C728" s="197"/>
      <c r="D728" s="197"/>
      <c r="E728" s="197"/>
      <c r="F728" s="197"/>
      <c r="G728" s="197"/>
      <c r="H728" s="39"/>
      <c r="I728" s="39"/>
      <c r="J728" s="39"/>
    </row>
    <row r="729" spans="1:10" x14ac:dyDescent="0.25">
      <c r="A729" s="196"/>
      <c r="B729" s="197"/>
      <c r="C729" s="197"/>
      <c r="D729" s="197"/>
      <c r="E729" s="197"/>
      <c r="F729" s="197"/>
      <c r="G729" s="197"/>
      <c r="H729" s="39"/>
      <c r="I729" s="39"/>
      <c r="J729" s="39"/>
    </row>
    <row r="730" spans="1:10" x14ac:dyDescent="0.25">
      <c r="A730" s="196"/>
      <c r="B730" s="197"/>
      <c r="C730" s="197"/>
      <c r="D730" s="197"/>
      <c r="E730" s="197"/>
      <c r="F730" s="197"/>
      <c r="G730" s="197"/>
      <c r="H730" s="39"/>
      <c r="I730" s="39"/>
      <c r="J730" s="39"/>
    </row>
    <row r="731" spans="1:10" x14ac:dyDescent="0.25">
      <c r="A731" s="196"/>
      <c r="B731" s="197"/>
      <c r="C731" s="197"/>
      <c r="D731" s="197"/>
      <c r="E731" s="197"/>
      <c r="F731" s="197"/>
      <c r="G731" s="197"/>
      <c r="H731" s="39"/>
      <c r="I731" s="39"/>
      <c r="J731" s="39"/>
    </row>
    <row r="732" spans="1:10" x14ac:dyDescent="0.25">
      <c r="A732" s="196"/>
      <c r="B732" s="197"/>
      <c r="C732" s="197"/>
      <c r="D732" s="197"/>
      <c r="E732" s="197"/>
      <c r="F732" s="197"/>
      <c r="G732" s="197"/>
      <c r="H732" s="39"/>
      <c r="I732" s="39"/>
      <c r="J732" s="39"/>
    </row>
    <row r="733" spans="1:10" x14ac:dyDescent="0.25">
      <c r="A733" s="196"/>
      <c r="B733" s="197"/>
      <c r="C733" s="197"/>
      <c r="D733" s="197"/>
      <c r="E733" s="197"/>
      <c r="F733" s="197"/>
      <c r="G733" s="197"/>
      <c r="H733" s="39"/>
      <c r="I733" s="39"/>
      <c r="J733" s="39"/>
    </row>
    <row r="734" spans="1:10" x14ac:dyDescent="0.25">
      <c r="A734" s="196"/>
      <c r="B734" s="197"/>
      <c r="C734" s="197"/>
      <c r="D734" s="197"/>
      <c r="E734" s="197"/>
      <c r="F734" s="197"/>
      <c r="G734" s="197"/>
      <c r="H734" s="39"/>
      <c r="I734" s="39"/>
      <c r="J734" s="39"/>
    </row>
    <row r="735" spans="1:10" x14ac:dyDescent="0.25">
      <c r="A735" s="196"/>
      <c r="B735" s="197"/>
      <c r="C735" s="197"/>
      <c r="D735" s="197"/>
      <c r="E735" s="197"/>
      <c r="F735" s="197"/>
      <c r="G735" s="197"/>
      <c r="H735" s="39"/>
      <c r="I735" s="39"/>
      <c r="J735" s="39"/>
    </row>
    <row r="736" spans="1:10" x14ac:dyDescent="0.25">
      <c r="A736" s="196"/>
      <c r="B736" s="197"/>
      <c r="C736" s="197"/>
      <c r="D736" s="197"/>
      <c r="E736" s="197"/>
      <c r="F736" s="197"/>
      <c r="G736" s="197"/>
      <c r="H736" s="39"/>
      <c r="I736" s="39"/>
      <c r="J736" s="39"/>
    </row>
    <row r="737" spans="1:10" x14ac:dyDescent="0.25">
      <c r="A737" s="196"/>
      <c r="B737" s="197"/>
      <c r="C737" s="197"/>
      <c r="D737" s="197"/>
      <c r="E737" s="197"/>
      <c r="F737" s="197"/>
      <c r="G737" s="197"/>
      <c r="H737" s="39"/>
      <c r="I737" s="39"/>
      <c r="J737" s="39"/>
    </row>
    <row r="738" spans="1:10" x14ac:dyDescent="0.25">
      <c r="A738" s="196"/>
      <c r="B738" s="197"/>
      <c r="C738" s="197"/>
      <c r="D738" s="197"/>
      <c r="E738" s="197"/>
      <c r="F738" s="197"/>
      <c r="G738" s="197"/>
      <c r="H738" s="39"/>
      <c r="I738" s="39"/>
      <c r="J738" s="39"/>
    </row>
    <row r="739" spans="1:10" x14ac:dyDescent="0.25">
      <c r="A739" s="196"/>
      <c r="B739" s="197"/>
      <c r="C739" s="197"/>
      <c r="D739" s="197"/>
      <c r="E739" s="197"/>
      <c r="F739" s="197"/>
      <c r="G739" s="197"/>
      <c r="H739" s="39"/>
      <c r="I739" s="39"/>
      <c r="J739" s="39"/>
    </row>
    <row r="740" spans="1:10" x14ac:dyDescent="0.25">
      <c r="A740" s="196"/>
      <c r="B740" s="197"/>
      <c r="C740" s="197"/>
      <c r="D740" s="197"/>
      <c r="E740" s="197"/>
      <c r="F740" s="197"/>
      <c r="G740" s="197"/>
      <c r="H740" s="39"/>
      <c r="I740" s="39"/>
      <c r="J740" s="39"/>
    </row>
    <row r="741" spans="1:10" x14ac:dyDescent="0.25">
      <c r="A741" s="196"/>
      <c r="B741" s="197"/>
      <c r="C741" s="197"/>
      <c r="D741" s="197"/>
      <c r="E741" s="197"/>
      <c r="F741" s="197"/>
      <c r="G741" s="197"/>
      <c r="H741" s="39"/>
      <c r="I741" s="39"/>
      <c r="J741" s="39"/>
    </row>
    <row r="742" spans="1:10" x14ac:dyDescent="0.25">
      <c r="A742" s="196"/>
      <c r="B742" s="197"/>
      <c r="C742" s="197"/>
      <c r="D742" s="197"/>
      <c r="E742" s="197"/>
      <c r="F742" s="197"/>
      <c r="G742" s="197"/>
      <c r="H742" s="39"/>
      <c r="I742" s="39"/>
      <c r="J742" s="39"/>
    </row>
    <row r="743" spans="1:10" x14ac:dyDescent="0.25">
      <c r="A743" s="196"/>
      <c r="B743" s="197"/>
      <c r="C743" s="197"/>
      <c r="D743" s="197"/>
      <c r="E743" s="197"/>
      <c r="F743" s="197"/>
      <c r="G743" s="197"/>
      <c r="H743" s="39"/>
      <c r="I743" s="39"/>
      <c r="J743" s="39"/>
    </row>
    <row r="744" spans="1:10" x14ac:dyDescent="0.25">
      <c r="A744" s="196"/>
      <c r="B744" s="197"/>
      <c r="C744" s="197"/>
      <c r="D744" s="197"/>
      <c r="E744" s="197"/>
      <c r="F744" s="197"/>
      <c r="G744" s="197"/>
      <c r="H744" s="39"/>
      <c r="I744" s="39"/>
      <c r="J744" s="39"/>
    </row>
    <row r="745" spans="1:10" x14ac:dyDescent="0.25">
      <c r="A745" s="196"/>
      <c r="B745" s="197"/>
      <c r="C745" s="197"/>
      <c r="D745" s="197"/>
      <c r="E745" s="197"/>
      <c r="F745" s="197"/>
      <c r="G745" s="197"/>
      <c r="H745" s="39"/>
      <c r="I745" s="39"/>
      <c r="J745" s="39"/>
    </row>
    <row r="746" spans="1:10" x14ac:dyDescent="0.25">
      <c r="A746" s="196"/>
      <c r="B746" s="197"/>
      <c r="C746" s="197"/>
      <c r="D746" s="197"/>
      <c r="E746" s="197"/>
      <c r="F746" s="197"/>
      <c r="G746" s="197"/>
      <c r="H746" s="39"/>
      <c r="I746" s="39"/>
      <c r="J746" s="39"/>
    </row>
    <row r="747" spans="1:10" x14ac:dyDescent="0.25">
      <c r="A747" s="196"/>
      <c r="B747" s="197"/>
      <c r="C747" s="197"/>
      <c r="D747" s="197"/>
      <c r="E747" s="197"/>
      <c r="F747" s="197"/>
      <c r="G747" s="197"/>
      <c r="H747" s="39"/>
      <c r="I747" s="39"/>
      <c r="J747" s="39"/>
    </row>
    <row r="748" spans="1:10" x14ac:dyDescent="0.25">
      <c r="A748" s="196"/>
      <c r="B748" s="197"/>
      <c r="C748" s="197"/>
      <c r="D748" s="197"/>
      <c r="E748" s="197"/>
      <c r="F748" s="197"/>
      <c r="G748" s="197"/>
      <c r="H748" s="39"/>
      <c r="I748" s="39"/>
      <c r="J748" s="39"/>
    </row>
    <row r="749" spans="1:10" x14ac:dyDescent="0.25">
      <c r="A749" s="196"/>
      <c r="B749" s="197"/>
      <c r="C749" s="197"/>
      <c r="D749" s="197"/>
      <c r="E749" s="197"/>
      <c r="F749" s="197"/>
      <c r="G749" s="197"/>
      <c r="H749" s="39"/>
      <c r="I749" s="39"/>
      <c r="J749" s="39"/>
    </row>
    <row r="750" spans="1:10" x14ac:dyDescent="0.25">
      <c r="A750" s="196"/>
      <c r="B750" s="197"/>
      <c r="C750" s="197"/>
      <c r="D750" s="197"/>
      <c r="E750" s="197"/>
      <c r="F750" s="197"/>
      <c r="G750" s="197"/>
      <c r="H750" s="39"/>
      <c r="I750" s="39"/>
      <c r="J750" s="39"/>
    </row>
    <row r="751" spans="1:10" x14ac:dyDescent="0.25">
      <c r="A751" s="196"/>
      <c r="B751" s="197"/>
      <c r="C751" s="197"/>
      <c r="D751" s="197"/>
      <c r="E751" s="197"/>
      <c r="F751" s="197"/>
      <c r="G751" s="197"/>
      <c r="H751" s="39"/>
      <c r="I751" s="39"/>
      <c r="J751" s="39"/>
    </row>
    <row r="752" spans="1:10" x14ac:dyDescent="0.25">
      <c r="A752" s="196"/>
      <c r="B752" s="197"/>
      <c r="C752" s="197"/>
      <c r="D752" s="197"/>
      <c r="E752" s="197"/>
      <c r="F752" s="197"/>
      <c r="G752" s="197"/>
      <c r="H752" s="39"/>
      <c r="I752" s="39"/>
      <c r="J752" s="39"/>
    </row>
    <row r="753" spans="1:10" x14ac:dyDescent="0.25">
      <c r="A753" s="196"/>
      <c r="B753" s="197"/>
      <c r="C753" s="197"/>
      <c r="D753" s="197"/>
      <c r="E753" s="197"/>
      <c r="F753" s="197"/>
      <c r="G753" s="197"/>
      <c r="H753" s="39"/>
      <c r="I753" s="39"/>
      <c r="J753" s="39"/>
    </row>
    <row r="754" spans="1:10" x14ac:dyDescent="0.25">
      <c r="A754" s="196"/>
      <c r="B754" s="197"/>
      <c r="C754" s="197"/>
      <c r="D754" s="197"/>
      <c r="E754" s="197"/>
      <c r="F754" s="197"/>
      <c r="G754" s="197"/>
      <c r="H754" s="39"/>
      <c r="I754" s="39"/>
      <c r="J754" s="39"/>
    </row>
    <row r="755" spans="1:10" x14ac:dyDescent="0.25">
      <c r="A755" s="196"/>
      <c r="B755" s="197"/>
      <c r="C755" s="197"/>
      <c r="D755" s="197"/>
      <c r="E755" s="197"/>
      <c r="F755" s="197"/>
      <c r="G755" s="197"/>
      <c r="H755" s="39"/>
      <c r="I755" s="39"/>
      <c r="J755" s="39"/>
    </row>
    <row r="756" spans="1:10" x14ac:dyDescent="0.25">
      <c r="A756" s="196"/>
      <c r="B756" s="197"/>
      <c r="C756" s="197"/>
      <c r="D756" s="197"/>
      <c r="E756" s="197"/>
      <c r="F756" s="197"/>
      <c r="G756" s="197"/>
      <c r="H756" s="39"/>
      <c r="I756" s="39"/>
      <c r="J756" s="39"/>
    </row>
    <row r="757" spans="1:10" x14ac:dyDescent="0.25">
      <c r="A757" s="196"/>
      <c r="B757" s="197"/>
      <c r="C757" s="197"/>
      <c r="D757" s="197"/>
      <c r="E757" s="197"/>
      <c r="F757" s="197"/>
      <c r="G757" s="197"/>
      <c r="H757" s="39"/>
      <c r="I757" s="39"/>
      <c r="J757" s="39"/>
    </row>
    <row r="758" spans="1:10" x14ac:dyDescent="0.25">
      <c r="A758" s="196"/>
      <c r="B758" s="197"/>
      <c r="C758" s="197"/>
      <c r="D758" s="197"/>
      <c r="E758" s="197"/>
      <c r="F758" s="197"/>
      <c r="G758" s="197"/>
      <c r="H758" s="39"/>
      <c r="I758" s="39"/>
      <c r="J758" s="39"/>
    </row>
    <row r="759" spans="1:10" x14ac:dyDescent="0.25">
      <c r="A759" s="196"/>
      <c r="B759" s="197"/>
      <c r="C759" s="197"/>
      <c r="D759" s="197"/>
      <c r="E759" s="197"/>
      <c r="F759" s="197"/>
      <c r="G759" s="197"/>
      <c r="H759" s="39"/>
      <c r="I759" s="39"/>
      <c r="J759" s="39"/>
    </row>
    <row r="760" spans="1:10" x14ac:dyDescent="0.25">
      <c r="A760" s="196"/>
      <c r="B760" s="197"/>
      <c r="C760" s="197"/>
      <c r="D760" s="197"/>
      <c r="E760" s="197"/>
      <c r="F760" s="197"/>
      <c r="G760" s="197"/>
      <c r="H760" s="39"/>
      <c r="I760" s="39"/>
      <c r="J760" s="39"/>
    </row>
    <row r="761" spans="1:10" x14ac:dyDescent="0.25">
      <c r="A761" s="196"/>
      <c r="B761" s="197"/>
      <c r="C761" s="197"/>
      <c r="D761" s="197"/>
      <c r="E761" s="197"/>
      <c r="F761" s="197"/>
      <c r="G761" s="197"/>
      <c r="H761" s="39"/>
      <c r="I761" s="39"/>
      <c r="J761" s="39"/>
    </row>
    <row r="762" spans="1:10" x14ac:dyDescent="0.25">
      <c r="A762" s="196"/>
      <c r="B762" s="197"/>
      <c r="C762" s="197"/>
      <c r="D762" s="197"/>
      <c r="E762" s="197"/>
      <c r="F762" s="197"/>
      <c r="G762" s="197"/>
      <c r="H762" s="39"/>
      <c r="I762" s="39"/>
      <c r="J762" s="39"/>
    </row>
    <row r="763" spans="1:10" x14ac:dyDescent="0.25">
      <c r="A763" s="196"/>
      <c r="B763" s="197"/>
      <c r="C763" s="197"/>
      <c r="D763" s="197"/>
      <c r="E763" s="197"/>
      <c r="F763" s="197"/>
      <c r="G763" s="197"/>
      <c r="H763" s="39"/>
      <c r="I763" s="39"/>
      <c r="J763" s="39"/>
    </row>
    <row r="764" spans="1:10" x14ac:dyDescent="0.25">
      <c r="A764" s="196"/>
      <c r="B764" s="197"/>
      <c r="C764" s="197"/>
      <c r="D764" s="197"/>
      <c r="E764" s="197"/>
      <c r="F764" s="197"/>
      <c r="G764" s="197"/>
      <c r="H764" s="39"/>
      <c r="I764" s="39"/>
      <c r="J764" s="39"/>
    </row>
    <row r="765" spans="1:10" x14ac:dyDescent="0.25">
      <c r="A765" s="196"/>
      <c r="B765" s="197"/>
      <c r="C765" s="197"/>
      <c r="D765" s="197"/>
      <c r="E765" s="197"/>
      <c r="F765" s="197"/>
      <c r="G765" s="197"/>
      <c r="H765" s="39"/>
      <c r="I765" s="39"/>
      <c r="J765" s="39"/>
    </row>
    <row r="766" spans="1:10" x14ac:dyDescent="0.25">
      <c r="A766" s="196"/>
      <c r="B766" s="197"/>
      <c r="C766" s="197"/>
      <c r="D766" s="197"/>
      <c r="E766" s="197"/>
      <c r="F766" s="197"/>
      <c r="G766" s="197"/>
      <c r="H766" s="39"/>
      <c r="I766" s="39"/>
      <c r="J766" s="39"/>
    </row>
    <row r="767" spans="1:10" x14ac:dyDescent="0.25">
      <c r="A767" s="196"/>
      <c r="B767" s="197"/>
      <c r="C767" s="197"/>
      <c r="D767" s="197"/>
      <c r="E767" s="197"/>
      <c r="F767" s="197"/>
      <c r="G767" s="197"/>
      <c r="H767" s="39"/>
      <c r="I767" s="39"/>
      <c r="J767" s="39"/>
    </row>
    <row r="768" spans="1:10" x14ac:dyDescent="0.25">
      <c r="A768" s="196"/>
      <c r="B768" s="197"/>
      <c r="C768" s="197"/>
      <c r="D768" s="197"/>
      <c r="E768" s="197"/>
      <c r="F768" s="197"/>
      <c r="G768" s="197"/>
      <c r="H768" s="39"/>
      <c r="I768" s="39"/>
      <c r="J768" s="39"/>
    </row>
    <row r="769" spans="1:10" x14ac:dyDescent="0.25">
      <c r="A769" s="196"/>
      <c r="B769" s="197"/>
      <c r="C769" s="197"/>
      <c r="D769" s="197"/>
      <c r="E769" s="197"/>
      <c r="F769" s="197"/>
      <c r="G769" s="197"/>
      <c r="H769" s="39"/>
      <c r="I769" s="39"/>
      <c r="J769" s="39"/>
    </row>
    <row r="770" spans="1:10" x14ac:dyDescent="0.25">
      <c r="A770" s="196"/>
      <c r="B770" s="197"/>
      <c r="C770" s="197"/>
      <c r="D770" s="197"/>
      <c r="E770" s="197"/>
      <c r="F770" s="197"/>
      <c r="G770" s="197"/>
      <c r="H770" s="39"/>
      <c r="I770" s="39"/>
      <c r="J770" s="39"/>
    </row>
    <row r="771" spans="1:10" x14ac:dyDescent="0.25">
      <c r="A771" s="196"/>
      <c r="B771" s="197"/>
      <c r="C771" s="197"/>
      <c r="D771" s="197"/>
      <c r="E771" s="197"/>
      <c r="F771" s="197"/>
      <c r="G771" s="197"/>
      <c r="H771" s="39"/>
      <c r="I771" s="39"/>
      <c r="J771" s="39"/>
    </row>
    <row r="772" spans="1:10" x14ac:dyDescent="0.25">
      <c r="A772" s="196"/>
      <c r="B772" s="197"/>
      <c r="C772" s="197"/>
      <c r="D772" s="197"/>
      <c r="E772" s="197"/>
      <c r="F772" s="197"/>
      <c r="G772" s="197"/>
      <c r="H772" s="39"/>
      <c r="I772" s="39"/>
      <c r="J772" s="39"/>
    </row>
    <row r="773" spans="1:10" x14ac:dyDescent="0.25">
      <c r="A773" s="196"/>
      <c r="B773" s="197"/>
      <c r="C773" s="197"/>
      <c r="D773" s="197"/>
      <c r="E773" s="197"/>
      <c r="F773" s="197"/>
      <c r="G773" s="197"/>
      <c r="H773" s="39"/>
      <c r="I773" s="39"/>
      <c r="J773" s="39"/>
    </row>
    <row r="774" spans="1:10" x14ac:dyDescent="0.25">
      <c r="A774" s="196"/>
      <c r="B774" s="197"/>
      <c r="C774" s="197"/>
      <c r="D774" s="197"/>
      <c r="E774" s="197"/>
      <c r="F774" s="197"/>
      <c r="G774" s="197"/>
      <c r="H774" s="39"/>
      <c r="I774" s="39"/>
      <c r="J774" s="39"/>
    </row>
    <row r="775" spans="1:10" x14ac:dyDescent="0.25">
      <c r="A775" s="196"/>
      <c r="B775" s="197"/>
      <c r="C775" s="197"/>
      <c r="D775" s="197"/>
      <c r="E775" s="197"/>
      <c r="F775" s="197"/>
      <c r="G775" s="197"/>
      <c r="H775" s="39"/>
      <c r="I775" s="39"/>
      <c r="J775" s="39"/>
    </row>
    <row r="776" spans="1:10" x14ac:dyDescent="0.25">
      <c r="A776" s="196"/>
      <c r="B776" s="197"/>
      <c r="C776" s="197"/>
      <c r="D776" s="197"/>
      <c r="E776" s="197"/>
      <c r="F776" s="197"/>
      <c r="G776" s="197"/>
      <c r="H776" s="39"/>
      <c r="I776" s="39"/>
      <c r="J776" s="39"/>
    </row>
    <row r="777" spans="1:10" x14ac:dyDescent="0.25">
      <c r="A777" s="196"/>
      <c r="B777" s="197"/>
      <c r="C777" s="197"/>
      <c r="D777" s="197"/>
      <c r="E777" s="197"/>
      <c r="F777" s="197"/>
      <c r="G777" s="197"/>
      <c r="H777" s="39"/>
      <c r="I777" s="39"/>
      <c r="J777" s="39"/>
    </row>
    <row r="778" spans="1:10" x14ac:dyDescent="0.25">
      <c r="A778" s="196"/>
      <c r="B778" s="197"/>
      <c r="C778" s="197"/>
      <c r="D778" s="197"/>
      <c r="E778" s="197"/>
      <c r="F778" s="197"/>
      <c r="G778" s="197"/>
      <c r="H778" s="39"/>
      <c r="I778" s="39"/>
      <c r="J778" s="39"/>
    </row>
    <row r="779" spans="1:10" x14ac:dyDescent="0.25">
      <c r="A779" s="196"/>
      <c r="B779" s="197"/>
      <c r="C779" s="197"/>
      <c r="D779" s="197"/>
      <c r="E779" s="197"/>
      <c r="F779" s="197"/>
      <c r="G779" s="197"/>
      <c r="H779" s="39"/>
      <c r="I779" s="39"/>
      <c r="J779" s="39"/>
    </row>
    <row r="780" spans="1:10" x14ac:dyDescent="0.25">
      <c r="A780" s="196"/>
      <c r="B780" s="197"/>
      <c r="C780" s="197"/>
      <c r="D780" s="197"/>
      <c r="E780" s="197"/>
      <c r="F780" s="197"/>
      <c r="G780" s="197"/>
      <c r="H780" s="39"/>
      <c r="I780" s="39"/>
      <c r="J780" s="39"/>
    </row>
    <row r="781" spans="1:10" x14ac:dyDescent="0.25">
      <c r="A781" s="196"/>
      <c r="B781" s="197"/>
      <c r="C781" s="197"/>
      <c r="D781" s="197"/>
      <c r="E781" s="197"/>
      <c r="F781" s="197"/>
      <c r="G781" s="197"/>
      <c r="H781" s="39"/>
      <c r="I781" s="39"/>
      <c r="J781" s="39"/>
    </row>
    <row r="782" spans="1:10" x14ac:dyDescent="0.25">
      <c r="A782" s="196"/>
      <c r="B782" s="197"/>
      <c r="C782" s="197"/>
      <c r="D782" s="197"/>
      <c r="E782" s="197"/>
      <c r="F782" s="197"/>
      <c r="G782" s="197"/>
      <c r="H782" s="39"/>
      <c r="I782" s="39"/>
      <c r="J782" s="39"/>
    </row>
    <row r="783" spans="1:10" x14ac:dyDescent="0.25">
      <c r="A783" s="196"/>
      <c r="B783" s="197"/>
      <c r="C783" s="197"/>
      <c r="D783" s="197"/>
      <c r="E783" s="197"/>
      <c r="F783" s="197"/>
      <c r="G783" s="197"/>
      <c r="H783" s="39"/>
      <c r="I783" s="39"/>
      <c r="J783" s="39"/>
    </row>
    <row r="784" spans="1:10" x14ac:dyDescent="0.25">
      <c r="A784" s="196"/>
      <c r="B784" s="197"/>
      <c r="C784" s="197"/>
      <c r="D784" s="197"/>
      <c r="E784" s="197"/>
      <c r="F784" s="197"/>
      <c r="G784" s="197"/>
      <c r="H784" s="39"/>
      <c r="I784" s="39"/>
      <c r="J784" s="39"/>
    </row>
    <row r="785" spans="1:10" x14ac:dyDescent="0.25">
      <c r="A785" s="196"/>
      <c r="B785" s="197"/>
      <c r="C785" s="197"/>
      <c r="D785" s="197"/>
      <c r="E785" s="197"/>
      <c r="F785" s="197"/>
      <c r="G785" s="197"/>
      <c r="H785" s="39"/>
      <c r="I785" s="39"/>
      <c r="J785" s="39"/>
    </row>
    <row r="786" spans="1:10" x14ac:dyDescent="0.25">
      <c r="A786" s="196"/>
      <c r="B786" s="197"/>
      <c r="C786" s="197"/>
      <c r="D786" s="197"/>
      <c r="E786" s="197"/>
      <c r="F786" s="197"/>
      <c r="G786" s="197"/>
      <c r="H786" s="39"/>
      <c r="I786" s="39"/>
      <c r="J786" s="39"/>
    </row>
    <row r="787" spans="1:10" x14ac:dyDescent="0.25">
      <c r="A787" s="196"/>
      <c r="B787" s="197"/>
      <c r="C787" s="197"/>
      <c r="D787" s="197"/>
      <c r="E787" s="197"/>
      <c r="F787" s="197"/>
      <c r="G787" s="197"/>
      <c r="H787" s="39"/>
      <c r="I787" s="39"/>
      <c r="J787" s="39"/>
    </row>
    <row r="788" spans="1:10" x14ac:dyDescent="0.25">
      <c r="A788" s="196"/>
      <c r="B788" s="197"/>
      <c r="C788" s="197"/>
      <c r="D788" s="197"/>
      <c r="E788" s="197"/>
      <c r="F788" s="197"/>
      <c r="G788" s="197"/>
      <c r="H788" s="39"/>
      <c r="I788" s="39"/>
      <c r="J788" s="39"/>
    </row>
    <row r="789" spans="1:10" x14ac:dyDescent="0.25">
      <c r="A789" s="196"/>
      <c r="B789" s="197"/>
      <c r="C789" s="197"/>
      <c r="D789" s="197"/>
      <c r="E789" s="197"/>
      <c r="F789" s="197"/>
      <c r="G789" s="197"/>
      <c r="H789" s="39"/>
      <c r="I789" s="39"/>
      <c r="J789" s="39"/>
    </row>
    <row r="790" spans="1:10" x14ac:dyDescent="0.25">
      <c r="A790" s="196"/>
      <c r="B790" s="197"/>
      <c r="C790" s="197"/>
      <c r="D790" s="197"/>
      <c r="E790" s="197"/>
      <c r="F790" s="197"/>
      <c r="G790" s="197"/>
      <c r="H790" s="39"/>
      <c r="I790" s="39"/>
      <c r="J790" s="39"/>
    </row>
    <row r="791" spans="1:10" x14ac:dyDescent="0.25">
      <c r="A791" s="196"/>
      <c r="B791" s="197"/>
      <c r="C791" s="197"/>
      <c r="D791" s="197"/>
      <c r="E791" s="197"/>
      <c r="F791" s="197"/>
      <c r="G791" s="197"/>
      <c r="H791" s="39"/>
      <c r="I791" s="39"/>
      <c r="J791" s="39"/>
    </row>
    <row r="792" spans="1:10" x14ac:dyDescent="0.25">
      <c r="A792" s="196"/>
      <c r="B792" s="197"/>
      <c r="C792" s="197"/>
      <c r="D792" s="197"/>
      <c r="E792" s="197"/>
      <c r="F792" s="197"/>
      <c r="G792" s="197"/>
      <c r="H792" s="39"/>
      <c r="I792" s="39"/>
      <c r="J792" s="39"/>
    </row>
    <row r="793" spans="1:10" x14ac:dyDescent="0.25">
      <c r="A793" s="196"/>
      <c r="B793" s="197"/>
      <c r="C793" s="197"/>
      <c r="D793" s="197"/>
      <c r="E793" s="197"/>
      <c r="F793" s="197"/>
      <c r="G793" s="197"/>
      <c r="H793" s="39"/>
      <c r="I793" s="39"/>
      <c r="J793" s="39"/>
    </row>
    <row r="794" spans="1:10" x14ac:dyDescent="0.25">
      <c r="A794" s="196"/>
      <c r="B794" s="197"/>
      <c r="C794" s="197"/>
      <c r="D794" s="197"/>
      <c r="E794" s="197"/>
      <c r="F794" s="197"/>
      <c r="G794" s="197"/>
      <c r="H794" s="39"/>
      <c r="I794" s="39"/>
      <c r="J794" s="39"/>
    </row>
    <row r="795" spans="1:10" x14ac:dyDescent="0.25">
      <c r="A795" s="196"/>
      <c r="B795" s="197"/>
      <c r="C795" s="197"/>
      <c r="D795" s="197"/>
      <c r="E795" s="197"/>
      <c r="F795" s="197"/>
      <c r="G795" s="197"/>
      <c r="H795" s="39"/>
      <c r="I795" s="39"/>
      <c r="J795" s="39"/>
    </row>
    <row r="796" spans="1:10" x14ac:dyDescent="0.25">
      <c r="A796" s="196"/>
      <c r="B796" s="197"/>
      <c r="C796" s="197"/>
      <c r="D796" s="197"/>
      <c r="E796" s="197"/>
      <c r="F796" s="197"/>
      <c r="G796" s="197"/>
      <c r="H796" s="39"/>
      <c r="I796" s="39"/>
      <c r="J796" s="39"/>
    </row>
    <row r="797" spans="1:10" x14ac:dyDescent="0.25">
      <c r="A797" s="196"/>
      <c r="B797" s="197"/>
      <c r="C797" s="197"/>
      <c r="D797" s="197"/>
      <c r="E797" s="197"/>
      <c r="F797" s="197"/>
      <c r="G797" s="197"/>
      <c r="H797" s="39"/>
      <c r="I797" s="39"/>
      <c r="J797" s="39"/>
    </row>
    <row r="798" spans="1:10" x14ac:dyDescent="0.25">
      <c r="A798" s="196"/>
      <c r="B798" s="197"/>
      <c r="C798" s="197"/>
      <c r="D798" s="197"/>
      <c r="E798" s="197"/>
      <c r="F798" s="197"/>
      <c r="G798" s="197"/>
      <c r="H798" s="39"/>
      <c r="I798" s="39"/>
      <c r="J798" s="39"/>
    </row>
    <row r="799" spans="1:10" x14ac:dyDescent="0.25">
      <c r="A799" s="196"/>
      <c r="B799" s="197"/>
      <c r="C799" s="197"/>
      <c r="D799" s="197"/>
      <c r="E799" s="197"/>
      <c r="F799" s="197"/>
      <c r="G799" s="197"/>
      <c r="H799" s="39"/>
      <c r="I799" s="39"/>
      <c r="J799" s="39"/>
    </row>
    <row r="800" spans="1:10" x14ac:dyDescent="0.25">
      <c r="A800" s="196"/>
      <c r="B800" s="197"/>
      <c r="C800" s="197"/>
      <c r="D800" s="197"/>
      <c r="E800" s="197"/>
      <c r="F800" s="197"/>
      <c r="G800" s="197"/>
      <c r="H800" s="39"/>
      <c r="I800" s="39"/>
      <c r="J800" s="39"/>
    </row>
    <row r="801" spans="1:10" x14ac:dyDescent="0.25">
      <c r="A801" s="196"/>
      <c r="B801" s="197"/>
      <c r="C801" s="197"/>
      <c r="D801" s="197"/>
      <c r="E801" s="197"/>
      <c r="F801" s="197"/>
      <c r="G801" s="197"/>
      <c r="H801" s="39"/>
      <c r="I801" s="39"/>
      <c r="J801" s="39"/>
    </row>
    <row r="802" spans="1:10" x14ac:dyDescent="0.25">
      <c r="A802" s="196"/>
      <c r="B802" s="197"/>
      <c r="C802" s="197"/>
      <c r="D802" s="197"/>
      <c r="E802" s="197"/>
      <c r="F802" s="197"/>
      <c r="G802" s="197"/>
      <c r="H802" s="39"/>
      <c r="I802" s="39"/>
      <c r="J802" s="39"/>
    </row>
    <row r="803" spans="1:10" x14ac:dyDescent="0.25">
      <c r="A803" s="196"/>
      <c r="B803" s="197"/>
      <c r="C803" s="197"/>
      <c r="D803" s="197"/>
      <c r="E803" s="197"/>
      <c r="F803" s="197"/>
      <c r="G803" s="197"/>
      <c r="H803" s="39"/>
      <c r="I803" s="39"/>
      <c r="J803" s="39"/>
    </row>
    <row r="804" spans="1:10" x14ac:dyDescent="0.25">
      <c r="A804" s="196"/>
      <c r="B804" s="197"/>
      <c r="C804" s="197"/>
      <c r="D804" s="197"/>
      <c r="E804" s="197"/>
      <c r="F804" s="197"/>
      <c r="G804" s="197"/>
      <c r="H804" s="39"/>
      <c r="I804" s="39"/>
      <c r="J804" s="39"/>
    </row>
    <row r="805" spans="1:10" x14ac:dyDescent="0.25">
      <c r="A805" s="196"/>
      <c r="B805" s="197"/>
      <c r="C805" s="197"/>
      <c r="D805" s="197"/>
      <c r="E805" s="197"/>
      <c r="F805" s="197"/>
      <c r="G805" s="197"/>
      <c r="H805" s="39"/>
      <c r="I805" s="39"/>
      <c r="J805" s="39"/>
    </row>
    <row r="806" spans="1:10" x14ac:dyDescent="0.25">
      <c r="A806" s="196"/>
      <c r="B806" s="197"/>
      <c r="C806" s="197"/>
      <c r="D806" s="197"/>
      <c r="E806" s="197"/>
      <c r="F806" s="197"/>
      <c r="G806" s="197"/>
      <c r="H806" s="39"/>
      <c r="I806" s="39"/>
      <c r="J806" s="39"/>
    </row>
    <row r="807" spans="1:10" x14ac:dyDescent="0.25">
      <c r="A807" s="196"/>
      <c r="B807" s="197"/>
      <c r="C807" s="197"/>
      <c r="D807" s="197"/>
      <c r="E807" s="197"/>
      <c r="F807" s="197"/>
      <c r="G807" s="197"/>
      <c r="H807" s="39"/>
      <c r="I807" s="39"/>
      <c r="J807" s="39"/>
    </row>
    <row r="808" spans="1:10" x14ac:dyDescent="0.25">
      <c r="A808" s="196"/>
      <c r="B808" s="197"/>
      <c r="C808" s="197"/>
      <c r="D808" s="197"/>
      <c r="E808" s="197"/>
      <c r="F808" s="197"/>
      <c r="G808" s="197"/>
      <c r="H808" s="39"/>
      <c r="I808" s="39"/>
      <c r="J808" s="39"/>
    </row>
    <row r="809" spans="1:10" x14ac:dyDescent="0.25">
      <c r="A809" s="196"/>
      <c r="B809" s="197"/>
      <c r="C809" s="197"/>
      <c r="D809" s="197"/>
      <c r="E809" s="197"/>
      <c r="F809" s="197"/>
      <c r="G809" s="197"/>
      <c r="H809" s="39"/>
      <c r="I809" s="39"/>
      <c r="J809" s="39"/>
    </row>
    <row r="810" spans="1:10" x14ac:dyDescent="0.25">
      <c r="A810" s="196"/>
      <c r="B810" s="197"/>
      <c r="C810" s="197"/>
      <c r="D810" s="197"/>
      <c r="E810" s="197"/>
      <c r="F810" s="197"/>
      <c r="G810" s="197"/>
      <c r="H810" s="39"/>
      <c r="I810" s="39"/>
      <c r="J810" s="39"/>
    </row>
    <row r="811" spans="1:10" x14ac:dyDescent="0.25">
      <c r="A811" s="196"/>
      <c r="B811" s="197"/>
      <c r="C811" s="197"/>
      <c r="D811" s="197"/>
      <c r="E811" s="197"/>
      <c r="F811" s="197"/>
      <c r="G811" s="197"/>
      <c r="H811" s="39"/>
      <c r="I811" s="39"/>
      <c r="J811" s="39"/>
    </row>
    <row r="812" spans="1:10" x14ac:dyDescent="0.25">
      <c r="A812" s="196"/>
      <c r="B812" s="197"/>
      <c r="C812" s="197"/>
      <c r="D812" s="197"/>
      <c r="E812" s="197"/>
      <c r="F812" s="197"/>
      <c r="G812" s="197"/>
      <c r="H812" s="39"/>
      <c r="I812" s="39"/>
      <c r="J812" s="39"/>
    </row>
    <row r="813" spans="1:10" x14ac:dyDescent="0.25">
      <c r="A813" s="196"/>
      <c r="B813" s="197"/>
      <c r="C813" s="197"/>
      <c r="D813" s="197"/>
      <c r="E813" s="197"/>
      <c r="F813" s="197"/>
      <c r="G813" s="197"/>
      <c r="H813" s="39"/>
      <c r="I813" s="39"/>
      <c r="J813" s="39"/>
    </row>
    <row r="814" spans="1:10" x14ac:dyDescent="0.25">
      <c r="A814" s="196"/>
      <c r="B814" s="197"/>
      <c r="C814" s="197"/>
      <c r="D814" s="197"/>
      <c r="E814" s="197"/>
      <c r="F814" s="197"/>
      <c r="G814" s="197"/>
      <c r="H814" s="39"/>
      <c r="I814" s="39"/>
      <c r="J814" s="39"/>
    </row>
    <row r="815" spans="1:10" x14ac:dyDescent="0.25">
      <c r="A815" s="196"/>
      <c r="B815" s="197"/>
      <c r="C815" s="197"/>
      <c r="D815" s="197"/>
      <c r="E815" s="197"/>
      <c r="F815" s="197"/>
      <c r="G815" s="197"/>
      <c r="H815" s="39"/>
      <c r="I815" s="39"/>
      <c r="J815" s="39"/>
    </row>
    <row r="816" spans="1:10" x14ac:dyDescent="0.25">
      <c r="A816" s="196"/>
      <c r="B816" s="197"/>
      <c r="C816" s="197"/>
      <c r="D816" s="197"/>
      <c r="E816" s="197"/>
      <c r="F816" s="197"/>
      <c r="G816" s="197"/>
      <c r="H816" s="39"/>
      <c r="I816" s="39"/>
      <c r="J816" s="39"/>
    </row>
    <row r="817" spans="1:10" x14ac:dyDescent="0.25">
      <c r="A817" s="196"/>
      <c r="B817" s="197"/>
      <c r="C817" s="197"/>
      <c r="D817" s="197"/>
      <c r="E817" s="197"/>
      <c r="F817" s="197"/>
      <c r="G817" s="197"/>
      <c r="H817" s="39"/>
      <c r="I817" s="39"/>
      <c r="J817" s="39"/>
    </row>
    <row r="818" spans="1:10" x14ac:dyDescent="0.25">
      <c r="A818" s="196"/>
      <c r="B818" s="197"/>
      <c r="C818" s="197"/>
      <c r="D818" s="197"/>
      <c r="E818" s="197"/>
      <c r="F818" s="197"/>
      <c r="G818" s="197"/>
      <c r="H818" s="39"/>
      <c r="I818" s="39"/>
      <c r="J818" s="39"/>
    </row>
    <row r="819" spans="1:10" x14ac:dyDescent="0.25">
      <c r="A819" s="196"/>
      <c r="B819" s="197"/>
      <c r="C819" s="197"/>
      <c r="D819" s="197"/>
      <c r="E819" s="197"/>
      <c r="F819" s="197"/>
      <c r="G819" s="197"/>
      <c r="H819" s="39"/>
      <c r="I819" s="39"/>
      <c r="J819" s="39"/>
    </row>
    <row r="820" spans="1:10" x14ac:dyDescent="0.25">
      <c r="A820" s="196"/>
      <c r="B820" s="197"/>
      <c r="C820" s="197"/>
      <c r="D820" s="197"/>
      <c r="E820" s="197"/>
      <c r="F820" s="197"/>
      <c r="G820" s="197"/>
      <c r="H820" s="39"/>
      <c r="I820" s="39"/>
      <c r="J820" s="39"/>
    </row>
    <row r="821" spans="1:10" x14ac:dyDescent="0.25">
      <c r="A821" s="196"/>
      <c r="B821" s="197"/>
      <c r="C821" s="197"/>
      <c r="D821" s="197"/>
      <c r="E821" s="197"/>
      <c r="F821" s="197"/>
      <c r="G821" s="197"/>
      <c r="H821" s="39"/>
      <c r="I821" s="39"/>
      <c r="J821" s="39"/>
    </row>
    <row r="822" spans="1:10" x14ac:dyDescent="0.25">
      <c r="A822" s="196"/>
      <c r="B822" s="197"/>
      <c r="C822" s="197"/>
      <c r="D822" s="197"/>
      <c r="E822" s="197"/>
      <c r="F822" s="197"/>
      <c r="G822" s="197"/>
      <c r="H822" s="39"/>
      <c r="I822" s="39"/>
      <c r="J822" s="39"/>
    </row>
    <row r="823" spans="1:10" x14ac:dyDescent="0.25">
      <c r="A823" s="196"/>
      <c r="B823" s="197"/>
      <c r="C823" s="197"/>
      <c r="D823" s="197"/>
      <c r="E823" s="197"/>
      <c r="F823" s="197"/>
      <c r="G823" s="197"/>
      <c r="H823" s="39"/>
      <c r="I823" s="39"/>
      <c r="J823" s="39"/>
    </row>
    <row r="824" spans="1:10" x14ac:dyDescent="0.25">
      <c r="A824" s="196"/>
      <c r="B824" s="197"/>
      <c r="C824" s="197"/>
      <c r="D824" s="197"/>
      <c r="E824" s="197"/>
      <c r="F824" s="197"/>
      <c r="G824" s="197"/>
      <c r="H824" s="39"/>
      <c r="I824" s="39"/>
      <c r="J824" s="39"/>
    </row>
    <row r="825" spans="1:10" x14ac:dyDescent="0.25">
      <c r="A825" s="196"/>
      <c r="B825" s="197"/>
      <c r="C825" s="197"/>
      <c r="D825" s="197"/>
      <c r="E825" s="197"/>
      <c r="F825" s="197"/>
      <c r="G825" s="197"/>
      <c r="H825" s="39"/>
      <c r="I825" s="39"/>
      <c r="J825" s="39"/>
    </row>
    <row r="826" spans="1:10" x14ac:dyDescent="0.25">
      <c r="A826" s="196"/>
      <c r="B826" s="197"/>
      <c r="C826" s="197"/>
      <c r="D826" s="197"/>
      <c r="E826" s="197"/>
      <c r="F826" s="197"/>
      <c r="G826" s="197"/>
      <c r="H826" s="39"/>
      <c r="I826" s="39"/>
      <c r="J826" s="39"/>
    </row>
    <row r="827" spans="1:10" x14ac:dyDescent="0.25">
      <c r="A827" s="196"/>
      <c r="B827" s="197"/>
      <c r="C827" s="197"/>
      <c r="D827" s="197"/>
      <c r="E827" s="197"/>
      <c r="F827" s="197"/>
      <c r="G827" s="197"/>
      <c r="H827" s="39"/>
      <c r="I827" s="39"/>
      <c r="J827" s="39"/>
    </row>
    <row r="828" spans="1:10" x14ac:dyDescent="0.25">
      <c r="A828" s="196"/>
      <c r="B828" s="197"/>
      <c r="C828" s="197"/>
      <c r="D828" s="197"/>
      <c r="E828" s="197"/>
      <c r="F828" s="197"/>
      <c r="G828" s="197"/>
      <c r="H828" s="39"/>
      <c r="I828" s="39"/>
      <c r="J828" s="39"/>
    </row>
    <row r="829" spans="1:10" x14ac:dyDescent="0.25">
      <c r="A829" s="196"/>
      <c r="B829" s="197"/>
      <c r="C829" s="197"/>
      <c r="D829" s="197"/>
      <c r="E829" s="197"/>
      <c r="F829" s="197"/>
      <c r="G829" s="197"/>
      <c r="H829" s="39"/>
      <c r="I829" s="39"/>
      <c r="J829" s="39"/>
    </row>
    <row r="830" spans="1:10" x14ac:dyDescent="0.25">
      <c r="A830" s="196"/>
      <c r="B830" s="197"/>
      <c r="C830" s="197"/>
      <c r="D830" s="197"/>
      <c r="E830" s="197"/>
      <c r="F830" s="197"/>
      <c r="G830" s="197"/>
      <c r="H830" s="39"/>
      <c r="I830" s="39"/>
      <c r="J830" s="39"/>
    </row>
    <row r="831" spans="1:10" x14ac:dyDescent="0.25">
      <c r="A831" s="196"/>
      <c r="B831" s="197"/>
      <c r="C831" s="197"/>
      <c r="D831" s="197"/>
      <c r="E831" s="197"/>
      <c r="F831" s="197"/>
      <c r="G831" s="197"/>
      <c r="H831" s="39"/>
      <c r="I831" s="39"/>
      <c r="J831" s="39"/>
    </row>
    <row r="832" spans="1:10" x14ac:dyDescent="0.25">
      <c r="A832" s="196"/>
      <c r="B832" s="197"/>
      <c r="C832" s="197"/>
      <c r="D832" s="197"/>
      <c r="E832" s="197"/>
      <c r="F832" s="197"/>
      <c r="G832" s="197"/>
      <c r="H832" s="39"/>
      <c r="I832" s="39"/>
      <c r="J832" s="39"/>
    </row>
    <row r="833" spans="1:10" x14ac:dyDescent="0.25">
      <c r="A833" s="196"/>
      <c r="B833" s="197"/>
      <c r="C833" s="197"/>
      <c r="D833" s="197"/>
      <c r="E833" s="197"/>
      <c r="F833" s="197"/>
      <c r="G833" s="197"/>
      <c r="H833" s="39"/>
      <c r="I833" s="39"/>
      <c r="J833" s="39"/>
    </row>
    <row r="834" spans="1:10" x14ac:dyDescent="0.25">
      <c r="A834" s="196"/>
      <c r="B834" s="197"/>
      <c r="C834" s="197"/>
      <c r="D834" s="197"/>
      <c r="E834" s="197"/>
      <c r="F834" s="197"/>
      <c r="G834" s="197"/>
      <c r="H834" s="39"/>
      <c r="I834" s="39"/>
      <c r="J834" s="39"/>
    </row>
    <row r="835" spans="1:10" x14ac:dyDescent="0.25">
      <c r="A835" s="196"/>
      <c r="B835" s="197"/>
      <c r="C835" s="197"/>
      <c r="D835" s="197"/>
      <c r="E835" s="197"/>
      <c r="F835" s="197"/>
      <c r="G835" s="197"/>
      <c r="H835" s="39"/>
      <c r="I835" s="39"/>
      <c r="J835" s="39"/>
    </row>
    <row r="836" spans="1:10" x14ac:dyDescent="0.25">
      <c r="A836" s="196"/>
      <c r="B836" s="197"/>
      <c r="C836" s="197"/>
      <c r="D836" s="197"/>
      <c r="E836" s="197"/>
      <c r="F836" s="197"/>
      <c r="G836" s="197"/>
      <c r="H836" s="39"/>
      <c r="I836" s="39"/>
      <c r="J836" s="39"/>
    </row>
    <row r="837" spans="1:10" x14ac:dyDescent="0.25">
      <c r="A837" s="196"/>
      <c r="B837" s="197"/>
      <c r="C837" s="197"/>
      <c r="D837" s="197"/>
      <c r="E837" s="197"/>
      <c r="F837" s="197"/>
      <c r="G837" s="197"/>
      <c r="H837" s="39"/>
      <c r="I837" s="39"/>
      <c r="J837" s="39"/>
    </row>
    <row r="838" spans="1:10" x14ac:dyDescent="0.25">
      <c r="A838" s="196"/>
      <c r="B838" s="197"/>
      <c r="C838" s="197"/>
      <c r="D838" s="197"/>
      <c r="E838" s="197"/>
      <c r="F838" s="197"/>
      <c r="G838" s="197"/>
      <c r="H838" s="39"/>
      <c r="I838" s="39"/>
      <c r="J838" s="39"/>
    </row>
    <row r="839" spans="1:10" x14ac:dyDescent="0.25">
      <c r="A839" s="196"/>
      <c r="B839" s="197"/>
      <c r="C839" s="197"/>
      <c r="D839" s="197"/>
      <c r="E839" s="197"/>
      <c r="F839" s="197"/>
      <c r="G839" s="197"/>
      <c r="H839" s="39"/>
      <c r="I839" s="39"/>
      <c r="J839" s="39"/>
    </row>
    <row r="840" spans="1:10" x14ac:dyDescent="0.25">
      <c r="A840" s="196"/>
      <c r="B840" s="197"/>
      <c r="C840" s="197"/>
      <c r="D840" s="197"/>
      <c r="E840" s="197"/>
      <c r="F840" s="197"/>
      <c r="G840" s="197"/>
      <c r="H840" s="39"/>
      <c r="I840" s="39"/>
      <c r="J840" s="39"/>
    </row>
    <row r="841" spans="1:10" x14ac:dyDescent="0.25">
      <c r="A841" s="196"/>
      <c r="B841" s="197"/>
      <c r="C841" s="197"/>
      <c r="D841" s="197"/>
      <c r="E841" s="197"/>
      <c r="F841" s="197"/>
      <c r="G841" s="197"/>
      <c r="H841" s="39"/>
      <c r="I841" s="39"/>
      <c r="J841" s="39"/>
    </row>
    <row r="842" spans="1:10" x14ac:dyDescent="0.25">
      <c r="A842" s="196"/>
      <c r="B842" s="197"/>
      <c r="C842" s="197"/>
      <c r="D842" s="197"/>
      <c r="E842" s="197"/>
      <c r="F842" s="197"/>
      <c r="G842" s="197"/>
      <c r="H842" s="39"/>
      <c r="I842" s="39"/>
      <c r="J842" s="39"/>
    </row>
    <row r="843" spans="1:10" x14ac:dyDescent="0.25">
      <c r="A843" s="196"/>
      <c r="B843" s="197"/>
      <c r="C843" s="197"/>
      <c r="D843" s="197"/>
      <c r="E843" s="197"/>
      <c r="F843" s="197"/>
      <c r="G843" s="197"/>
      <c r="H843" s="39"/>
      <c r="I843" s="39"/>
      <c r="J843" s="39"/>
    </row>
    <row r="844" spans="1:10" x14ac:dyDescent="0.25">
      <c r="A844" s="196"/>
      <c r="B844" s="197"/>
      <c r="C844" s="197"/>
      <c r="D844" s="197"/>
      <c r="E844" s="197"/>
      <c r="F844" s="197"/>
      <c r="G844" s="197"/>
      <c r="H844" s="39"/>
      <c r="I844" s="39"/>
      <c r="J844" s="39"/>
    </row>
    <row r="845" spans="1:10" x14ac:dyDescent="0.25">
      <c r="A845" s="196"/>
      <c r="B845" s="197"/>
      <c r="C845" s="197"/>
      <c r="D845" s="197"/>
      <c r="E845" s="197"/>
      <c r="F845" s="197"/>
      <c r="G845" s="197"/>
      <c r="H845" s="39"/>
      <c r="I845" s="39"/>
      <c r="J845" s="39"/>
    </row>
    <row r="846" spans="1:10" x14ac:dyDescent="0.25">
      <c r="A846" s="196"/>
      <c r="B846" s="197"/>
      <c r="C846" s="197"/>
      <c r="D846" s="197"/>
      <c r="E846" s="197"/>
      <c r="F846" s="197"/>
      <c r="G846" s="197"/>
      <c r="H846" s="39"/>
      <c r="I846" s="39"/>
      <c r="J846" s="39"/>
    </row>
    <row r="847" spans="1:10" x14ac:dyDescent="0.25">
      <c r="A847" s="196"/>
      <c r="B847" s="197"/>
      <c r="C847" s="197"/>
      <c r="D847" s="197"/>
      <c r="E847" s="197"/>
      <c r="F847" s="197"/>
      <c r="G847" s="197"/>
      <c r="H847" s="39"/>
      <c r="I847" s="39"/>
      <c r="J847" s="39"/>
    </row>
    <row r="848" spans="1:10" x14ac:dyDescent="0.25">
      <c r="A848" s="196"/>
      <c r="B848" s="197"/>
      <c r="C848" s="197"/>
      <c r="D848" s="197"/>
      <c r="E848" s="197"/>
      <c r="F848" s="197"/>
      <c r="G848" s="197"/>
      <c r="H848" s="39"/>
      <c r="I848" s="39"/>
      <c r="J848" s="39"/>
    </row>
    <row r="849" spans="1:10" x14ac:dyDescent="0.25">
      <c r="A849" s="196"/>
      <c r="B849" s="197"/>
      <c r="C849" s="197"/>
      <c r="D849" s="197"/>
      <c r="E849" s="197"/>
      <c r="F849" s="197"/>
      <c r="G849" s="197"/>
      <c r="H849" s="39"/>
      <c r="I849" s="39"/>
      <c r="J849" s="39"/>
    </row>
    <row r="850" spans="1:10" x14ac:dyDescent="0.25">
      <c r="A850" s="196"/>
      <c r="B850" s="197"/>
      <c r="C850" s="197"/>
      <c r="D850" s="197"/>
      <c r="E850" s="197"/>
      <c r="F850" s="197"/>
      <c r="G850" s="197"/>
      <c r="H850" s="39"/>
      <c r="I850" s="39"/>
      <c r="J850" s="39"/>
    </row>
    <row r="851" spans="1:10" x14ac:dyDescent="0.25">
      <c r="A851" s="196"/>
      <c r="B851" s="197"/>
      <c r="C851" s="197"/>
      <c r="D851" s="197"/>
      <c r="E851" s="197"/>
      <c r="F851" s="197"/>
      <c r="G851" s="197"/>
      <c r="H851" s="39"/>
      <c r="I851" s="39"/>
      <c r="J851" s="39"/>
    </row>
    <row r="852" spans="1:10" x14ac:dyDescent="0.25">
      <c r="A852" s="196"/>
      <c r="B852" s="197"/>
      <c r="C852" s="197"/>
      <c r="D852" s="197"/>
      <c r="E852" s="197"/>
      <c r="F852" s="197"/>
      <c r="G852" s="197"/>
      <c r="H852" s="39"/>
      <c r="I852" s="39"/>
      <c r="J852" s="39"/>
    </row>
    <row r="853" spans="1:10" x14ac:dyDescent="0.25">
      <c r="A853" s="196"/>
      <c r="B853" s="197"/>
      <c r="C853" s="197"/>
      <c r="D853" s="197"/>
      <c r="E853" s="197"/>
      <c r="F853" s="197"/>
      <c r="G853" s="197"/>
      <c r="H853" s="39"/>
      <c r="I853" s="39"/>
      <c r="J853" s="39"/>
    </row>
    <row r="854" spans="1:10" x14ac:dyDescent="0.25">
      <c r="A854" s="196"/>
      <c r="B854" s="197"/>
      <c r="C854" s="197"/>
      <c r="D854" s="197"/>
      <c r="E854" s="197"/>
      <c r="F854" s="197"/>
      <c r="G854" s="197"/>
      <c r="H854" s="39"/>
      <c r="I854" s="39"/>
      <c r="J854" s="39"/>
    </row>
    <row r="855" spans="1:10" x14ac:dyDescent="0.25">
      <c r="A855" s="196"/>
      <c r="B855" s="197"/>
      <c r="C855" s="197"/>
      <c r="D855" s="197"/>
      <c r="E855" s="197"/>
      <c r="F855" s="197"/>
      <c r="G855" s="197"/>
      <c r="H855" s="39"/>
      <c r="I855" s="39"/>
      <c r="J855" s="39"/>
    </row>
    <row r="856" spans="1:10" x14ac:dyDescent="0.25">
      <c r="A856" s="196"/>
      <c r="B856" s="197"/>
      <c r="C856" s="197"/>
      <c r="D856" s="197"/>
      <c r="E856" s="197"/>
      <c r="F856" s="197"/>
      <c r="G856" s="197"/>
      <c r="H856" s="39"/>
      <c r="I856" s="39"/>
      <c r="J856" s="39"/>
    </row>
    <row r="857" spans="1:10" x14ac:dyDescent="0.25">
      <c r="A857" s="196"/>
      <c r="B857" s="197"/>
      <c r="C857" s="197"/>
      <c r="D857" s="197"/>
      <c r="E857" s="197"/>
      <c r="F857" s="197"/>
      <c r="G857" s="197"/>
      <c r="H857" s="39"/>
      <c r="I857" s="39"/>
      <c r="J857" s="39"/>
    </row>
    <row r="858" spans="1:10" x14ac:dyDescent="0.25">
      <c r="A858" s="196"/>
      <c r="B858" s="197"/>
      <c r="C858" s="197"/>
      <c r="D858" s="197"/>
      <c r="E858" s="197"/>
      <c r="F858" s="197"/>
      <c r="G858" s="197"/>
      <c r="H858" s="39"/>
      <c r="I858" s="39"/>
      <c r="J858" s="39"/>
    </row>
    <row r="859" spans="1:10" x14ac:dyDescent="0.25">
      <c r="A859" s="196"/>
      <c r="B859" s="197"/>
      <c r="C859" s="197"/>
      <c r="D859" s="197"/>
      <c r="E859" s="197"/>
      <c r="F859" s="197"/>
      <c r="G859" s="197"/>
      <c r="H859" s="39"/>
      <c r="I859" s="39"/>
      <c r="J859" s="39"/>
    </row>
    <row r="860" spans="1:10" x14ac:dyDescent="0.25">
      <c r="A860" s="196"/>
      <c r="B860" s="197"/>
      <c r="C860" s="197"/>
      <c r="D860" s="197"/>
      <c r="E860" s="197"/>
      <c r="F860" s="197"/>
      <c r="G860" s="197"/>
      <c r="H860" s="39"/>
      <c r="I860" s="39"/>
      <c r="J860" s="39"/>
    </row>
    <row r="861" spans="1:10" x14ac:dyDescent="0.25">
      <c r="A861" s="196"/>
      <c r="B861" s="197"/>
      <c r="C861" s="197"/>
      <c r="D861" s="197"/>
      <c r="E861" s="197"/>
      <c r="F861" s="197"/>
      <c r="G861" s="197"/>
      <c r="H861" s="39"/>
      <c r="I861" s="39"/>
      <c r="J861" s="39"/>
    </row>
    <row r="862" spans="1:10" x14ac:dyDescent="0.25">
      <c r="A862" s="196"/>
      <c r="B862" s="197"/>
      <c r="C862" s="197"/>
      <c r="D862" s="197"/>
      <c r="E862" s="197"/>
      <c r="F862" s="197"/>
      <c r="G862" s="197"/>
      <c r="H862" s="39"/>
      <c r="I862" s="39"/>
      <c r="J862" s="39"/>
    </row>
    <row r="863" spans="1:10" x14ac:dyDescent="0.25">
      <c r="A863" s="196"/>
      <c r="B863" s="197"/>
      <c r="C863" s="197"/>
      <c r="D863" s="197"/>
      <c r="E863" s="197"/>
      <c r="F863" s="197"/>
      <c r="G863" s="197"/>
      <c r="H863" s="39"/>
      <c r="I863" s="39"/>
      <c r="J863" s="39"/>
    </row>
    <row r="864" spans="1:10" x14ac:dyDescent="0.25">
      <c r="A864" s="196"/>
      <c r="B864" s="197"/>
      <c r="C864" s="197"/>
      <c r="D864" s="197"/>
      <c r="E864" s="197"/>
      <c r="F864" s="197"/>
      <c r="G864" s="197"/>
      <c r="H864" s="39"/>
      <c r="I864" s="39"/>
      <c r="J864" s="39"/>
    </row>
    <row r="865" spans="1:10" x14ac:dyDescent="0.25">
      <c r="A865" s="196"/>
      <c r="B865" s="197"/>
      <c r="C865" s="197"/>
      <c r="D865" s="197"/>
      <c r="E865" s="197"/>
      <c r="F865" s="197"/>
      <c r="G865" s="197"/>
      <c r="H865" s="39"/>
      <c r="I865" s="39"/>
      <c r="J865" s="39"/>
    </row>
    <row r="866" spans="1:10" x14ac:dyDescent="0.25">
      <c r="A866" s="196"/>
      <c r="B866" s="197"/>
      <c r="C866" s="197"/>
      <c r="D866" s="197"/>
      <c r="E866" s="197"/>
      <c r="F866" s="197"/>
      <c r="G866" s="197"/>
      <c r="H866" s="39"/>
      <c r="I866" s="39"/>
      <c r="J866" s="39"/>
    </row>
    <row r="867" spans="1:10" x14ac:dyDescent="0.25">
      <c r="A867" s="196"/>
      <c r="B867" s="197"/>
      <c r="C867" s="197"/>
      <c r="D867" s="197"/>
      <c r="E867" s="197"/>
      <c r="F867" s="197"/>
      <c r="G867" s="197"/>
      <c r="H867" s="39"/>
      <c r="I867" s="39"/>
      <c r="J867" s="39"/>
    </row>
    <row r="868" spans="1:10" x14ac:dyDescent="0.25">
      <c r="A868" s="196"/>
      <c r="B868" s="197"/>
      <c r="C868" s="197"/>
      <c r="D868" s="197"/>
      <c r="E868" s="197"/>
      <c r="F868" s="197"/>
      <c r="G868" s="197"/>
      <c r="H868" s="39"/>
      <c r="I868" s="39"/>
      <c r="J868" s="39"/>
    </row>
    <row r="869" spans="1:10" x14ac:dyDescent="0.25">
      <c r="A869" s="196"/>
      <c r="B869" s="197"/>
      <c r="C869" s="197"/>
      <c r="D869" s="197"/>
      <c r="E869" s="197"/>
      <c r="F869" s="197"/>
      <c r="G869" s="197"/>
      <c r="H869" s="39"/>
      <c r="I869" s="39"/>
      <c r="J869" s="39"/>
    </row>
    <row r="870" spans="1:10" x14ac:dyDescent="0.25">
      <c r="A870" s="196"/>
      <c r="B870" s="197"/>
      <c r="C870" s="197"/>
      <c r="D870" s="197"/>
      <c r="E870" s="197"/>
      <c r="F870" s="197"/>
      <c r="G870" s="197"/>
      <c r="H870" s="39"/>
      <c r="I870" s="39"/>
      <c r="J870" s="39"/>
    </row>
    <row r="871" spans="1:10" x14ac:dyDescent="0.25">
      <c r="A871" s="196"/>
      <c r="B871" s="197"/>
      <c r="C871" s="197"/>
      <c r="D871" s="197"/>
      <c r="E871" s="197"/>
      <c r="F871" s="197"/>
      <c r="G871" s="197"/>
      <c r="H871" s="39"/>
      <c r="I871" s="39"/>
      <c r="J871" s="39"/>
    </row>
    <row r="872" spans="1:10" x14ac:dyDescent="0.25">
      <c r="A872" s="196"/>
      <c r="B872" s="197"/>
      <c r="C872" s="197"/>
      <c r="D872" s="197"/>
      <c r="E872" s="197"/>
      <c r="F872" s="197"/>
      <c r="G872" s="197"/>
      <c r="H872" s="39"/>
      <c r="I872" s="39"/>
      <c r="J872" s="39"/>
    </row>
    <row r="873" spans="1:10" x14ac:dyDescent="0.25">
      <c r="A873" s="196"/>
      <c r="B873" s="197"/>
      <c r="C873" s="197"/>
      <c r="D873" s="197"/>
      <c r="E873" s="197"/>
      <c r="F873" s="197"/>
      <c r="G873" s="197"/>
      <c r="H873" s="39"/>
      <c r="I873" s="39"/>
      <c r="J873" s="39"/>
    </row>
    <row r="874" spans="1:10" x14ac:dyDescent="0.25">
      <c r="A874" s="196"/>
      <c r="B874" s="197"/>
      <c r="C874" s="197"/>
      <c r="D874" s="197"/>
      <c r="E874" s="197"/>
      <c r="F874" s="197"/>
      <c r="G874" s="197"/>
      <c r="H874" s="39"/>
      <c r="I874" s="39"/>
      <c r="J874" s="39"/>
    </row>
    <row r="875" spans="1:10" x14ac:dyDescent="0.25">
      <c r="A875" s="196"/>
      <c r="B875" s="197"/>
      <c r="C875" s="197"/>
      <c r="D875" s="197"/>
      <c r="E875" s="197"/>
      <c r="F875" s="197"/>
      <c r="G875" s="197"/>
      <c r="H875" s="39"/>
      <c r="I875" s="39"/>
      <c r="J875" s="39"/>
    </row>
    <row r="876" spans="1:10" x14ac:dyDescent="0.25">
      <c r="A876" s="196"/>
      <c r="B876" s="197"/>
      <c r="C876" s="197"/>
      <c r="D876" s="197"/>
      <c r="E876" s="197"/>
      <c r="F876" s="197"/>
      <c r="G876" s="197"/>
      <c r="H876" s="39"/>
      <c r="I876" s="39"/>
      <c r="J876" s="39"/>
    </row>
    <row r="877" spans="1:10" x14ac:dyDescent="0.25">
      <c r="B877" s="39"/>
      <c r="C877" s="39"/>
      <c r="D877" s="39"/>
      <c r="E877" s="39"/>
      <c r="F877" s="39"/>
      <c r="G877" s="39"/>
      <c r="H877" s="39"/>
      <c r="I877" s="39"/>
      <c r="J877" s="39"/>
    </row>
    <row r="878" spans="1:10" x14ac:dyDescent="0.25">
      <c r="B878" s="39"/>
      <c r="C878" s="39"/>
      <c r="D878" s="39"/>
      <c r="E878" s="39"/>
      <c r="F878" s="39"/>
      <c r="G878" s="39"/>
      <c r="H878" s="39"/>
      <c r="I878" s="39"/>
      <c r="J878" s="39"/>
    </row>
    <row r="879" spans="1:10" x14ac:dyDescent="0.25">
      <c r="B879" s="39"/>
      <c r="C879" s="39"/>
      <c r="D879" s="39"/>
      <c r="E879" s="39"/>
      <c r="F879" s="39"/>
      <c r="G879" s="39"/>
      <c r="H879" s="39"/>
      <c r="I879" s="39"/>
      <c r="J879" s="39"/>
    </row>
    <row r="880" spans="1:10" x14ac:dyDescent="0.25">
      <c r="B880" s="39"/>
      <c r="C880" s="39"/>
      <c r="D880" s="39"/>
      <c r="E880" s="39"/>
      <c r="F880" s="39"/>
      <c r="G880" s="39"/>
      <c r="H880" s="39"/>
      <c r="I880" s="39"/>
      <c r="J880" s="39"/>
    </row>
    <row r="881" spans="2:10" x14ac:dyDescent="0.25">
      <c r="B881" s="39"/>
      <c r="C881" s="39"/>
      <c r="D881" s="39"/>
      <c r="E881" s="39"/>
      <c r="F881" s="39"/>
      <c r="G881" s="39"/>
      <c r="H881" s="39"/>
      <c r="I881" s="39"/>
      <c r="J881" s="39"/>
    </row>
    <row r="882" spans="2:10" x14ac:dyDescent="0.25">
      <c r="B882" s="39"/>
      <c r="C882" s="39"/>
      <c r="D882" s="39"/>
      <c r="E882" s="39"/>
      <c r="F882" s="39"/>
      <c r="G882" s="39"/>
      <c r="H882" s="39"/>
      <c r="I882" s="39"/>
      <c r="J882" s="39"/>
    </row>
    <row r="883" spans="2:10" x14ac:dyDescent="0.25">
      <c r="B883" s="39"/>
      <c r="C883" s="39"/>
      <c r="D883" s="39"/>
      <c r="E883" s="39"/>
      <c r="F883" s="39"/>
      <c r="G883" s="39"/>
      <c r="H883" s="39"/>
      <c r="I883" s="39"/>
      <c r="J883" s="39"/>
    </row>
    <row r="884" spans="2:10" x14ac:dyDescent="0.25">
      <c r="B884" s="39"/>
      <c r="C884" s="39"/>
      <c r="D884" s="39"/>
      <c r="E884" s="39"/>
      <c r="F884" s="39"/>
      <c r="G884" s="39"/>
      <c r="H884" s="39"/>
      <c r="I884" s="39"/>
      <c r="J884" s="39"/>
    </row>
    <row r="885" spans="2:10" x14ac:dyDescent="0.25">
      <c r="B885" s="39"/>
      <c r="C885" s="39"/>
      <c r="D885" s="39"/>
      <c r="E885" s="39"/>
      <c r="F885" s="39"/>
      <c r="G885" s="39"/>
      <c r="H885" s="39"/>
      <c r="I885" s="39"/>
      <c r="J885" s="39"/>
    </row>
    <row r="886" spans="2:10" x14ac:dyDescent="0.25">
      <c r="B886" s="39"/>
      <c r="C886" s="39"/>
      <c r="D886" s="39"/>
      <c r="E886" s="39"/>
      <c r="F886" s="39"/>
      <c r="G886" s="39"/>
      <c r="H886" s="39"/>
      <c r="I886" s="39"/>
      <c r="J886" s="39"/>
    </row>
    <row r="887" spans="2:10" x14ac:dyDescent="0.25">
      <c r="B887" s="39"/>
      <c r="C887" s="39"/>
      <c r="D887" s="39"/>
      <c r="E887" s="39"/>
      <c r="F887" s="39"/>
      <c r="G887" s="39"/>
      <c r="H887" s="39"/>
      <c r="I887" s="39"/>
      <c r="J887" s="39"/>
    </row>
    <row r="888" spans="2:10" x14ac:dyDescent="0.25">
      <c r="B888" s="39"/>
      <c r="C888" s="39"/>
      <c r="D888" s="39"/>
      <c r="E888" s="39"/>
      <c r="F888" s="39"/>
      <c r="G888" s="39"/>
      <c r="H888" s="39"/>
      <c r="I888" s="39"/>
      <c r="J888" s="39"/>
    </row>
    <row r="889" spans="2:10" x14ac:dyDescent="0.25">
      <c r="B889" s="39"/>
      <c r="C889" s="39"/>
      <c r="D889" s="39"/>
      <c r="E889" s="39"/>
      <c r="F889" s="39"/>
      <c r="G889" s="39"/>
      <c r="H889" s="39"/>
      <c r="I889" s="39"/>
      <c r="J889" s="39"/>
    </row>
    <row r="890" spans="2:10" x14ac:dyDescent="0.25">
      <c r="B890" s="39"/>
      <c r="C890" s="39"/>
      <c r="D890" s="39"/>
      <c r="E890" s="39"/>
      <c r="F890" s="39"/>
      <c r="G890" s="39"/>
      <c r="H890" s="39"/>
      <c r="I890" s="39"/>
      <c r="J890" s="39"/>
    </row>
    <row r="891" spans="2:10" x14ac:dyDescent="0.25">
      <c r="B891" s="39"/>
      <c r="C891" s="39"/>
      <c r="D891" s="39"/>
      <c r="E891" s="39"/>
      <c r="F891" s="39"/>
      <c r="G891" s="39"/>
      <c r="H891" s="39"/>
      <c r="I891" s="39"/>
      <c r="J891" s="39"/>
    </row>
    <row r="892" spans="2:10" x14ac:dyDescent="0.25">
      <c r="B892" s="39"/>
      <c r="C892" s="39"/>
      <c r="D892" s="39"/>
      <c r="E892" s="39"/>
      <c r="F892" s="39"/>
      <c r="G892" s="39"/>
      <c r="H892" s="39"/>
      <c r="I892" s="39"/>
      <c r="J892" s="39"/>
    </row>
    <row r="893" spans="2:10" x14ac:dyDescent="0.25">
      <c r="B893" s="39"/>
      <c r="C893" s="39"/>
      <c r="D893" s="39"/>
      <c r="E893" s="39"/>
      <c r="F893" s="39"/>
      <c r="G893" s="39"/>
      <c r="H893" s="39"/>
      <c r="I893" s="39"/>
      <c r="J893" s="39"/>
    </row>
    <row r="894" spans="2:10" x14ac:dyDescent="0.25">
      <c r="B894" s="39"/>
      <c r="C894" s="39"/>
      <c r="D894" s="39"/>
      <c r="E894" s="39"/>
      <c r="F894" s="39"/>
      <c r="G894" s="39"/>
      <c r="H894" s="39"/>
      <c r="I894" s="39"/>
      <c r="J894" s="39"/>
    </row>
    <row r="895" spans="2:10" x14ac:dyDescent="0.25">
      <c r="B895" s="39"/>
      <c r="C895" s="39"/>
      <c r="D895" s="39"/>
      <c r="E895" s="39"/>
      <c r="F895" s="39"/>
      <c r="G895" s="39"/>
      <c r="H895" s="39"/>
      <c r="I895" s="39"/>
      <c r="J895" s="39"/>
    </row>
    <row r="896" spans="2:10" x14ac:dyDescent="0.25">
      <c r="B896" s="39"/>
      <c r="C896" s="39"/>
      <c r="D896" s="39"/>
      <c r="E896" s="39"/>
      <c r="F896" s="39"/>
      <c r="G896" s="39"/>
      <c r="H896" s="39"/>
      <c r="I896" s="39"/>
      <c r="J896" s="39"/>
    </row>
    <row r="897" spans="2:10" x14ac:dyDescent="0.25">
      <c r="B897" s="39"/>
      <c r="C897" s="39"/>
      <c r="D897" s="39"/>
      <c r="E897" s="39"/>
      <c r="F897" s="39"/>
      <c r="G897" s="39"/>
      <c r="H897" s="39"/>
      <c r="I897" s="39"/>
      <c r="J897" s="39"/>
    </row>
    <row r="898" spans="2:10" x14ac:dyDescent="0.25">
      <c r="B898" s="39"/>
      <c r="C898" s="39"/>
      <c r="D898" s="39"/>
      <c r="E898" s="39"/>
      <c r="F898" s="39"/>
      <c r="G898" s="39"/>
      <c r="H898" s="39"/>
      <c r="I898" s="39"/>
      <c r="J898" s="39"/>
    </row>
    <row r="899" spans="2:10" x14ac:dyDescent="0.25">
      <c r="B899" s="39"/>
      <c r="C899" s="39"/>
      <c r="D899" s="39"/>
      <c r="E899" s="39"/>
      <c r="F899" s="39"/>
      <c r="G899" s="39"/>
      <c r="H899" s="39"/>
      <c r="I899" s="39"/>
      <c r="J899" s="39"/>
    </row>
    <row r="900" spans="2:10" x14ac:dyDescent="0.25">
      <c r="B900" s="39"/>
      <c r="C900" s="39"/>
      <c r="D900" s="39"/>
      <c r="E900" s="39"/>
      <c r="F900" s="39"/>
      <c r="G900" s="39"/>
      <c r="H900" s="39"/>
      <c r="I900" s="39"/>
      <c r="J900" s="39"/>
    </row>
    <row r="901" spans="2:10" x14ac:dyDescent="0.25">
      <c r="B901" s="39"/>
      <c r="C901" s="39"/>
      <c r="D901" s="39"/>
      <c r="E901" s="39"/>
      <c r="F901" s="39"/>
      <c r="G901" s="39"/>
      <c r="H901" s="39"/>
      <c r="I901" s="39"/>
      <c r="J901" s="39"/>
    </row>
    <row r="902" spans="2:10" x14ac:dyDescent="0.25">
      <c r="B902" s="39"/>
      <c r="C902" s="39"/>
      <c r="D902" s="39"/>
      <c r="E902" s="39"/>
      <c r="F902" s="39"/>
      <c r="G902" s="39"/>
      <c r="H902" s="39"/>
      <c r="I902" s="39"/>
      <c r="J902" s="39"/>
    </row>
    <row r="903" spans="2:10" x14ac:dyDescent="0.25">
      <c r="B903" s="39"/>
      <c r="C903" s="39"/>
      <c r="D903" s="39"/>
      <c r="E903" s="39"/>
      <c r="F903" s="39"/>
      <c r="G903" s="39"/>
      <c r="H903" s="39"/>
      <c r="I903" s="39"/>
      <c r="J903" s="39"/>
    </row>
    <row r="904" spans="2:10" x14ac:dyDescent="0.25">
      <c r="B904" s="39"/>
      <c r="C904" s="39"/>
      <c r="D904" s="39"/>
      <c r="E904" s="39"/>
      <c r="F904" s="39"/>
      <c r="G904" s="39"/>
      <c r="H904" s="39"/>
      <c r="I904" s="39"/>
      <c r="J904" s="39"/>
    </row>
    <row r="905" spans="2:10" x14ac:dyDescent="0.25">
      <c r="B905" s="39"/>
      <c r="C905" s="39"/>
      <c r="D905" s="39"/>
      <c r="E905" s="39"/>
      <c r="F905" s="39"/>
      <c r="G905" s="39"/>
      <c r="H905" s="39"/>
      <c r="I905" s="39"/>
      <c r="J905" s="39"/>
    </row>
    <row r="906" spans="2:10" x14ac:dyDescent="0.25">
      <c r="B906" s="39"/>
      <c r="C906" s="39"/>
      <c r="D906" s="39"/>
      <c r="E906" s="39"/>
      <c r="F906" s="39"/>
      <c r="G906" s="39"/>
      <c r="H906" s="39"/>
      <c r="I906" s="39"/>
      <c r="J906" s="39"/>
    </row>
    <row r="907" spans="2:10" x14ac:dyDescent="0.25">
      <c r="B907" s="39"/>
      <c r="C907" s="39"/>
      <c r="D907" s="39"/>
      <c r="E907" s="39"/>
      <c r="F907" s="39"/>
      <c r="G907" s="39"/>
      <c r="H907" s="39"/>
      <c r="I907" s="39"/>
      <c r="J907" s="39"/>
    </row>
    <row r="908" spans="2:10" x14ac:dyDescent="0.25">
      <c r="B908" s="39"/>
      <c r="C908" s="39"/>
      <c r="D908" s="39"/>
      <c r="E908" s="39"/>
      <c r="F908" s="39"/>
      <c r="G908" s="39"/>
      <c r="H908" s="39"/>
      <c r="I908" s="39"/>
      <c r="J908" s="39"/>
    </row>
    <row r="909" spans="2:10" x14ac:dyDescent="0.25">
      <c r="B909" s="39"/>
      <c r="C909" s="39"/>
      <c r="D909" s="39"/>
      <c r="E909" s="39"/>
      <c r="F909" s="39"/>
      <c r="G909" s="39"/>
      <c r="H909" s="39"/>
      <c r="I909" s="39"/>
      <c r="J909" s="39"/>
    </row>
    <row r="910" spans="2:10" x14ac:dyDescent="0.25">
      <c r="B910" s="39"/>
      <c r="C910" s="39"/>
      <c r="D910" s="39"/>
      <c r="E910" s="39"/>
      <c r="F910" s="39"/>
      <c r="G910" s="39"/>
      <c r="H910" s="39"/>
      <c r="I910" s="39"/>
      <c r="J910" s="39"/>
    </row>
    <row r="911" spans="2:10" x14ac:dyDescent="0.25">
      <c r="B911" s="39"/>
      <c r="C911" s="39"/>
      <c r="D911" s="39"/>
      <c r="E911" s="39"/>
      <c r="F911" s="39"/>
      <c r="G911" s="39"/>
      <c r="H911" s="39"/>
      <c r="I911" s="39"/>
      <c r="J911" s="39"/>
    </row>
    <row r="912" spans="2:10" x14ac:dyDescent="0.25">
      <c r="B912" s="39"/>
      <c r="C912" s="39"/>
      <c r="D912" s="39"/>
      <c r="E912" s="39"/>
      <c r="F912" s="39"/>
      <c r="G912" s="39"/>
      <c r="H912" s="39"/>
      <c r="I912" s="39"/>
      <c r="J912" s="39"/>
    </row>
    <row r="913" spans="2:10" x14ac:dyDescent="0.25">
      <c r="B913" s="39"/>
      <c r="C913" s="39"/>
      <c r="D913" s="39"/>
      <c r="E913" s="39"/>
      <c r="F913" s="39"/>
      <c r="G913" s="39"/>
      <c r="H913" s="39"/>
      <c r="I913" s="39"/>
      <c r="J913" s="39"/>
    </row>
    <row r="914" spans="2:10" x14ac:dyDescent="0.25">
      <c r="B914" s="39"/>
      <c r="C914" s="39"/>
      <c r="D914" s="39"/>
      <c r="E914" s="39"/>
      <c r="F914" s="39"/>
      <c r="G914" s="39"/>
      <c r="H914" s="39"/>
      <c r="I914" s="39"/>
      <c r="J914" s="39"/>
    </row>
    <row r="915" spans="2:10" x14ac:dyDescent="0.25">
      <c r="B915" s="39"/>
      <c r="C915" s="39"/>
      <c r="D915" s="39"/>
      <c r="E915" s="39"/>
      <c r="F915" s="39"/>
      <c r="G915" s="39"/>
      <c r="H915" s="39"/>
      <c r="I915" s="39"/>
      <c r="J915" s="39"/>
    </row>
    <row r="916" spans="2:10" x14ac:dyDescent="0.25">
      <c r="B916" s="39"/>
      <c r="C916" s="39"/>
      <c r="D916" s="39"/>
      <c r="E916" s="39"/>
      <c r="F916" s="39"/>
      <c r="G916" s="39"/>
      <c r="H916" s="39"/>
      <c r="I916" s="39"/>
      <c r="J916" s="39"/>
    </row>
    <row r="917" spans="2:10" x14ac:dyDescent="0.25">
      <c r="B917" s="39"/>
      <c r="C917" s="39"/>
      <c r="D917" s="39"/>
      <c r="E917" s="39"/>
      <c r="F917" s="39"/>
      <c r="G917" s="39"/>
      <c r="H917" s="39"/>
      <c r="I917" s="39"/>
      <c r="J917" s="39"/>
    </row>
    <row r="918" spans="2:10" x14ac:dyDescent="0.25">
      <c r="B918" s="39"/>
      <c r="C918" s="39"/>
      <c r="D918" s="39"/>
      <c r="E918" s="39"/>
      <c r="F918" s="39"/>
      <c r="G918" s="39"/>
      <c r="H918" s="39"/>
      <c r="I918" s="39"/>
      <c r="J918" s="39"/>
    </row>
    <row r="919" spans="2:10" x14ac:dyDescent="0.25">
      <c r="B919" s="39"/>
      <c r="C919" s="39"/>
      <c r="D919" s="39"/>
      <c r="E919" s="39"/>
      <c r="F919" s="39"/>
      <c r="G919" s="39"/>
      <c r="H919" s="39"/>
      <c r="I919" s="39"/>
      <c r="J919" s="39"/>
    </row>
    <row r="920" spans="2:10" x14ac:dyDescent="0.25">
      <c r="B920" s="39"/>
      <c r="C920" s="39"/>
      <c r="D920" s="39"/>
      <c r="E920" s="39"/>
      <c r="F920" s="39"/>
      <c r="G920" s="39"/>
      <c r="H920" s="39"/>
      <c r="I920" s="39"/>
      <c r="J920" s="39"/>
    </row>
    <row r="921" spans="2:10" x14ac:dyDescent="0.25">
      <c r="B921" s="39"/>
      <c r="C921" s="39"/>
      <c r="D921" s="39"/>
      <c r="E921" s="39"/>
      <c r="F921" s="39"/>
      <c r="G921" s="39"/>
      <c r="H921" s="39"/>
      <c r="I921" s="39"/>
      <c r="J921" s="39"/>
    </row>
    <row r="922" spans="2:10" x14ac:dyDescent="0.25">
      <c r="B922" s="39"/>
      <c r="C922" s="39"/>
      <c r="D922" s="39"/>
      <c r="E922" s="39"/>
      <c r="F922" s="39"/>
      <c r="G922" s="39"/>
      <c r="H922" s="39"/>
      <c r="I922" s="39"/>
      <c r="J922" s="39"/>
    </row>
    <row r="923" spans="2:10" x14ac:dyDescent="0.25">
      <c r="B923" s="39"/>
      <c r="C923" s="39"/>
      <c r="D923" s="39"/>
      <c r="E923" s="39"/>
      <c r="F923" s="39"/>
      <c r="G923" s="39"/>
      <c r="H923" s="39"/>
      <c r="I923" s="39"/>
      <c r="J923" s="39"/>
    </row>
    <row r="924" spans="2:10" x14ac:dyDescent="0.25">
      <c r="B924" s="39"/>
      <c r="C924" s="39"/>
      <c r="D924" s="39"/>
      <c r="E924" s="39"/>
      <c r="F924" s="39"/>
      <c r="G924" s="39"/>
      <c r="H924" s="39"/>
      <c r="I924" s="39"/>
      <c r="J924" s="39"/>
    </row>
    <row r="925" spans="2:10" x14ac:dyDescent="0.25">
      <c r="B925" s="39"/>
      <c r="C925" s="39"/>
      <c r="D925" s="39"/>
      <c r="E925" s="39"/>
      <c r="F925" s="39"/>
      <c r="G925" s="39"/>
      <c r="H925" s="39"/>
      <c r="I925" s="39"/>
      <c r="J925" s="39"/>
    </row>
    <row r="926" spans="2:10" x14ac:dyDescent="0.25">
      <c r="B926" s="39"/>
      <c r="C926" s="39"/>
      <c r="D926" s="39"/>
      <c r="E926" s="39"/>
      <c r="F926" s="39"/>
      <c r="G926" s="39"/>
      <c r="H926" s="39"/>
      <c r="I926" s="39"/>
      <c r="J926" s="39"/>
    </row>
    <row r="927" spans="2:10" x14ac:dyDescent="0.25">
      <c r="B927" s="39"/>
      <c r="C927" s="39"/>
      <c r="D927" s="39"/>
      <c r="E927" s="39"/>
      <c r="F927" s="39"/>
      <c r="G927" s="39"/>
      <c r="H927" s="39"/>
      <c r="I927" s="39"/>
      <c r="J927" s="39"/>
    </row>
    <row r="928" spans="2:10" x14ac:dyDescent="0.25">
      <c r="B928" s="39"/>
      <c r="C928" s="39"/>
      <c r="D928" s="39"/>
      <c r="E928" s="39"/>
      <c r="F928" s="39"/>
      <c r="G928" s="39"/>
      <c r="H928" s="39"/>
      <c r="I928" s="39"/>
      <c r="J928" s="39"/>
    </row>
    <row r="929" spans="2:10" x14ac:dyDescent="0.25">
      <c r="B929" s="39"/>
      <c r="C929" s="39"/>
      <c r="D929" s="39"/>
      <c r="E929" s="39"/>
      <c r="F929" s="39"/>
      <c r="G929" s="39"/>
      <c r="H929" s="39"/>
      <c r="I929" s="39"/>
      <c r="J929" s="39"/>
    </row>
    <row r="930" spans="2:10" x14ac:dyDescent="0.25">
      <c r="B930" s="39"/>
      <c r="C930" s="39"/>
      <c r="D930" s="39"/>
      <c r="E930" s="39"/>
      <c r="F930" s="39"/>
      <c r="G930" s="39"/>
      <c r="H930" s="39"/>
      <c r="I930" s="39"/>
      <c r="J930" s="39"/>
    </row>
    <row r="931" spans="2:10" x14ac:dyDescent="0.25">
      <c r="B931" s="39"/>
      <c r="C931" s="39"/>
      <c r="D931" s="39"/>
      <c r="E931" s="39"/>
      <c r="F931" s="39"/>
      <c r="G931" s="39"/>
      <c r="H931" s="39"/>
      <c r="I931" s="39"/>
      <c r="J931" s="39"/>
    </row>
    <row r="932" spans="2:10" x14ac:dyDescent="0.25">
      <c r="B932" s="39"/>
      <c r="C932" s="39"/>
      <c r="D932" s="39"/>
      <c r="E932" s="39"/>
      <c r="F932" s="39"/>
      <c r="G932" s="39"/>
      <c r="H932" s="39"/>
      <c r="I932" s="39"/>
      <c r="J932" s="39"/>
    </row>
    <row r="933" spans="2:10" x14ac:dyDescent="0.25">
      <c r="B933" s="39"/>
      <c r="C933" s="39"/>
      <c r="D933" s="39"/>
      <c r="E933" s="39"/>
      <c r="F933" s="39"/>
      <c r="G933" s="39"/>
      <c r="H933" s="39"/>
      <c r="I933" s="39"/>
      <c r="J933" s="39"/>
    </row>
    <row r="934" spans="2:10" x14ac:dyDescent="0.25">
      <c r="B934" s="39"/>
      <c r="C934" s="39"/>
      <c r="D934" s="39"/>
      <c r="E934" s="39"/>
      <c r="F934" s="39"/>
      <c r="G934" s="39"/>
      <c r="H934" s="39"/>
      <c r="I934" s="39"/>
      <c r="J934" s="39"/>
    </row>
    <row r="935" spans="2:10" x14ac:dyDescent="0.25">
      <c r="B935" s="39"/>
      <c r="C935" s="39"/>
      <c r="D935" s="39"/>
      <c r="E935" s="39"/>
      <c r="F935" s="39"/>
      <c r="G935" s="39"/>
      <c r="H935" s="39"/>
      <c r="I935" s="39"/>
      <c r="J935" s="39"/>
    </row>
  </sheetData>
  <mergeCells count="1">
    <mergeCell ref="A482:G48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&amp;L&amp;"-,Tučné"Statutární město
Frýdek-Místek&amp;C&amp;"-,Tučné"Závazné ukazatele rozpočtu pro rok 2018 po 4. změně a RO RM č. 1 - 217 &amp;"-,Obyčejné"
Zpracovala: Ing. Pavla Homolková, Finanční odbor&amp;RStrana &amp;P
celkem 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ZU po 4. změně a RO RM č. 1-217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dordova</dc:creator>
  <cp:lastModifiedBy>dordova</cp:lastModifiedBy>
  <dcterms:created xsi:type="dcterms:W3CDTF">2018-09-26T07:24:50Z</dcterms:created>
  <dcterms:modified xsi:type="dcterms:W3CDTF">2018-09-26T10:19:48Z</dcterms:modified>
</cp:coreProperties>
</file>