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1454\Documents\Dokumenty\Závazné ukazatele\Záv. ukazatele 2020\"/>
    </mc:Choice>
  </mc:AlternateContent>
  <workbookProtection workbookAlgorithmName="SHA-512" workbookHashValue="8C5H+tTHiIEE4di1j7i8Renk6iERneBndrV/PMv9u3UtgBJRlJH75RpYSFDbF6VjBMtefVNKQ/1aGgyjza0BVw==" workbookSaltValue="hrDfu1trhblY1FpbpQ20zQ==" workbookSpinCount="100000" lockStructure="1"/>
  <bookViews>
    <workbookView xWindow="0" yWindow="0" windowWidth="28800" windowHeight="12435"/>
  </bookViews>
  <sheets>
    <sheet name="ZU schvál.rozpočtu po RO 1-205" sheetId="1" r:id="rId1"/>
  </sheets>
  <definedNames>
    <definedName name="__DdeLink__9289_5144441" localSheetId="0">'ZU schvál.rozpočtu po RO 1-205'!$AA$436</definedName>
    <definedName name="_xlnm.Print_Titles" localSheetId="0">'ZU schvál.rozpočtu po RO 1-205'!$1:$2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50" i="1" l="1"/>
  <c r="AH7" i="1"/>
  <c r="AH407" i="1" l="1"/>
  <c r="AE407" i="1"/>
  <c r="AD407" i="1"/>
  <c r="Y407" i="1"/>
  <c r="X407" i="1"/>
  <c r="V407" i="1"/>
  <c r="T407" i="1"/>
  <c r="S407" i="1"/>
  <c r="Q407" i="1"/>
  <c r="P407" i="1"/>
  <c r="O407" i="1"/>
  <c r="M407" i="1"/>
  <c r="L407" i="1"/>
  <c r="J407" i="1"/>
  <c r="I407" i="1"/>
  <c r="H407" i="1"/>
  <c r="E407" i="1"/>
  <c r="D407" i="1"/>
  <c r="C407" i="1"/>
  <c r="Z406" i="1"/>
  <c r="AC406" i="1" s="1"/>
  <c r="AF406" i="1" s="1"/>
  <c r="AI406" i="1" s="1"/>
  <c r="R406" i="1"/>
  <c r="U406" i="1" s="1"/>
  <c r="G406" i="1"/>
  <c r="K406" i="1" s="1"/>
  <c r="N406" i="1" s="1"/>
  <c r="AG405" i="1"/>
  <c r="U405" i="1"/>
  <c r="W405" i="1" s="1"/>
  <c r="Z405" i="1" s="1"/>
  <c r="R405" i="1"/>
  <c r="G405" i="1"/>
  <c r="K405" i="1" s="1"/>
  <c r="N405" i="1" s="1"/>
  <c r="AG404" i="1"/>
  <c r="U404" i="1"/>
  <c r="W404" i="1" s="1"/>
  <c r="Z404" i="1" s="1"/>
  <c r="R404" i="1"/>
  <c r="G404" i="1"/>
  <c r="K404" i="1" s="1"/>
  <c r="N404" i="1" s="1"/>
  <c r="Z403" i="1"/>
  <c r="AC403" i="1" s="1"/>
  <c r="AF403" i="1" s="1"/>
  <c r="AI403" i="1" s="1"/>
  <c r="R403" i="1"/>
  <c r="U403" i="1" s="1"/>
  <c r="F403" i="1"/>
  <c r="F407" i="1" s="1"/>
  <c r="U402" i="1"/>
  <c r="W402" i="1" s="1"/>
  <c r="R402" i="1"/>
  <c r="G402" i="1"/>
  <c r="K402" i="1" s="1"/>
  <c r="N402" i="1" s="1"/>
  <c r="U401" i="1"/>
  <c r="W401" i="1" s="1"/>
  <c r="R401" i="1"/>
  <c r="G401" i="1"/>
  <c r="K401" i="1" s="1"/>
  <c r="N401" i="1" s="1"/>
  <c r="U400" i="1"/>
  <c r="W400" i="1" s="1"/>
  <c r="R400" i="1"/>
  <c r="G400" i="1"/>
  <c r="K400" i="1" s="1"/>
  <c r="N400" i="1" s="1"/>
  <c r="AG399" i="1"/>
  <c r="AG407" i="1" s="1"/>
  <c r="AC399" i="1"/>
  <c r="AF399" i="1" s="1"/>
  <c r="Z399" i="1"/>
  <c r="U399" i="1"/>
  <c r="U407" i="1" s="1"/>
  <c r="R399" i="1"/>
  <c r="R407" i="1" s="1"/>
  <c r="G399" i="1"/>
  <c r="R394" i="1"/>
  <c r="U394" i="1" s="1"/>
  <c r="K394" i="1"/>
  <c r="N394" i="1" s="1"/>
  <c r="G394" i="1"/>
  <c r="AE393" i="1"/>
  <c r="Z393" i="1"/>
  <c r="AC393" i="1" s="1"/>
  <c r="AF393" i="1" s="1"/>
  <c r="AI393" i="1" s="1"/>
  <c r="W393" i="1"/>
  <c r="U393" i="1"/>
  <c r="R393" i="1"/>
  <c r="G393" i="1"/>
  <c r="K393" i="1" s="1"/>
  <c r="N393" i="1" s="1"/>
  <c r="U392" i="1"/>
  <c r="W392" i="1" s="1"/>
  <c r="R392" i="1"/>
  <c r="G392" i="1"/>
  <c r="K392" i="1" s="1"/>
  <c r="N392" i="1" s="1"/>
  <c r="AH390" i="1"/>
  <c r="AG390" i="1"/>
  <c r="AE390" i="1"/>
  <c r="AD390" i="1"/>
  <c r="Y390" i="1"/>
  <c r="X390" i="1"/>
  <c r="V390" i="1"/>
  <c r="T390" i="1"/>
  <c r="S390" i="1"/>
  <c r="R390" i="1"/>
  <c r="Q390" i="1"/>
  <c r="P390" i="1"/>
  <c r="O390" i="1"/>
  <c r="M390" i="1"/>
  <c r="L390" i="1"/>
  <c r="J390" i="1"/>
  <c r="I390" i="1"/>
  <c r="H390" i="1"/>
  <c r="F390" i="1"/>
  <c r="E390" i="1"/>
  <c r="D390" i="1"/>
  <c r="G390" i="1" s="1"/>
  <c r="K390" i="1" s="1"/>
  <c r="C390" i="1"/>
  <c r="AE389" i="1"/>
  <c r="AA389" i="1"/>
  <c r="Y389" i="1"/>
  <c r="W389" i="1"/>
  <c r="Z389" i="1" s="1"/>
  <c r="AC389" i="1" s="1"/>
  <c r="AF389" i="1" s="1"/>
  <c r="AI389" i="1" s="1"/>
  <c r="T389" i="1"/>
  <c r="R389" i="1"/>
  <c r="U389" i="1" s="1"/>
  <c r="P389" i="1"/>
  <c r="L389" i="1"/>
  <c r="K389" i="1"/>
  <c r="N389" i="1" s="1"/>
  <c r="G389" i="1"/>
  <c r="R388" i="1"/>
  <c r="U388" i="1" s="1"/>
  <c r="K388" i="1"/>
  <c r="N388" i="1" s="1"/>
  <c r="G388" i="1"/>
  <c r="AH386" i="1"/>
  <c r="AG386" i="1"/>
  <c r="AE386" i="1"/>
  <c r="AD386" i="1"/>
  <c r="Y386" i="1"/>
  <c r="X386" i="1"/>
  <c r="V386" i="1"/>
  <c r="T386" i="1"/>
  <c r="S386" i="1"/>
  <c r="R386" i="1"/>
  <c r="Q386" i="1"/>
  <c r="P386" i="1"/>
  <c r="O386" i="1"/>
  <c r="M386" i="1"/>
  <c r="L386" i="1"/>
  <c r="J386" i="1"/>
  <c r="I386" i="1"/>
  <c r="H386" i="1"/>
  <c r="F386" i="1"/>
  <c r="E386" i="1"/>
  <c r="G386" i="1" s="1"/>
  <c r="K386" i="1" s="1"/>
  <c r="D386" i="1"/>
  <c r="C386" i="1"/>
  <c r="Z385" i="1"/>
  <c r="R385" i="1"/>
  <c r="U385" i="1" s="1"/>
  <c r="K385" i="1"/>
  <c r="N385" i="1" s="1"/>
  <c r="G385" i="1"/>
  <c r="R384" i="1"/>
  <c r="U384" i="1" s="1"/>
  <c r="L384" i="1"/>
  <c r="G384" i="1"/>
  <c r="K384" i="1" s="1"/>
  <c r="N384" i="1" s="1"/>
  <c r="N382" i="1" s="1"/>
  <c r="AI383" i="1"/>
  <c r="AH382" i="1"/>
  <c r="AG382" i="1"/>
  <c r="AE382" i="1"/>
  <c r="AD382" i="1"/>
  <c r="Y382" i="1"/>
  <c r="X382" i="1"/>
  <c r="V382" i="1"/>
  <c r="T382" i="1"/>
  <c r="S382" i="1"/>
  <c r="R382" i="1"/>
  <c r="Q382" i="1"/>
  <c r="P382" i="1"/>
  <c r="O382" i="1"/>
  <c r="M382" i="1"/>
  <c r="L382" i="1"/>
  <c r="J382" i="1"/>
  <c r="I382" i="1"/>
  <c r="H382" i="1"/>
  <c r="F382" i="1"/>
  <c r="E382" i="1"/>
  <c r="G382" i="1" s="1"/>
  <c r="K382" i="1" s="1"/>
  <c r="D382" i="1"/>
  <c r="C382" i="1"/>
  <c r="U381" i="1"/>
  <c r="W381" i="1" s="1"/>
  <c r="R381" i="1"/>
  <c r="G381" i="1"/>
  <c r="K381" i="1" s="1"/>
  <c r="N381" i="1" s="1"/>
  <c r="AB380" i="1"/>
  <c r="AC380" i="1" s="1"/>
  <c r="AF380" i="1" s="1"/>
  <c r="AI380" i="1" s="1"/>
  <c r="AG379" i="1"/>
  <c r="AB379" i="1"/>
  <c r="Z379" i="1"/>
  <c r="AC379" i="1" s="1"/>
  <c r="AF379" i="1" s="1"/>
  <c r="AI379" i="1" s="1"/>
  <c r="W379" i="1"/>
  <c r="P379" i="1"/>
  <c r="R379" i="1" s="1"/>
  <c r="K379" i="1"/>
  <c r="N379" i="1" s="1"/>
  <c r="G379" i="1"/>
  <c r="W378" i="1"/>
  <c r="Z378" i="1" s="1"/>
  <c r="AC378" i="1" s="1"/>
  <c r="AF378" i="1" s="1"/>
  <c r="AI378" i="1" s="1"/>
  <c r="Z377" i="1"/>
  <c r="AC377" i="1" s="1"/>
  <c r="AF377" i="1" s="1"/>
  <c r="AI377" i="1" s="1"/>
  <c r="W377" i="1"/>
  <c r="W376" i="1"/>
  <c r="Z376" i="1" s="1"/>
  <c r="AC376" i="1" s="1"/>
  <c r="AF376" i="1" s="1"/>
  <c r="AI376" i="1" s="1"/>
  <c r="Z375" i="1"/>
  <c r="AC375" i="1" s="1"/>
  <c r="AF375" i="1" s="1"/>
  <c r="AI375" i="1" s="1"/>
  <c r="W375" i="1"/>
  <c r="R374" i="1"/>
  <c r="U374" i="1" s="1"/>
  <c r="K374" i="1"/>
  <c r="N374" i="1" s="1"/>
  <c r="G374" i="1"/>
  <c r="AH372" i="1"/>
  <c r="AG372" i="1"/>
  <c r="AE372" i="1"/>
  <c r="AD372" i="1"/>
  <c r="Y372" i="1"/>
  <c r="X372" i="1"/>
  <c r="V372" i="1"/>
  <c r="T372" i="1"/>
  <c r="S372" i="1"/>
  <c r="Q372" i="1"/>
  <c r="P372" i="1"/>
  <c r="O372" i="1"/>
  <c r="M372" i="1"/>
  <c r="L372" i="1"/>
  <c r="J372" i="1"/>
  <c r="I372" i="1"/>
  <c r="H372" i="1"/>
  <c r="F372" i="1"/>
  <c r="E372" i="1"/>
  <c r="D372" i="1"/>
  <c r="G372" i="1" s="1"/>
  <c r="K372" i="1" s="1"/>
  <c r="C372" i="1"/>
  <c r="R371" i="1"/>
  <c r="U371" i="1" s="1"/>
  <c r="W371" i="1" s="1"/>
  <c r="K371" i="1"/>
  <c r="N371" i="1" s="1"/>
  <c r="G371" i="1"/>
  <c r="AH370" i="1"/>
  <c r="AG370" i="1"/>
  <c r="X370" i="1"/>
  <c r="X366" i="1" s="1"/>
  <c r="W370" i="1"/>
  <c r="Z370" i="1" s="1"/>
  <c r="AC370" i="1" s="1"/>
  <c r="AF370" i="1" s="1"/>
  <c r="AI370" i="1" s="1"/>
  <c r="AH369" i="1"/>
  <c r="AG369" i="1"/>
  <c r="AE369" i="1"/>
  <c r="AB369" i="1"/>
  <c r="Y369" i="1"/>
  <c r="W369" i="1"/>
  <c r="Z369" i="1" s="1"/>
  <c r="AC369" i="1" s="1"/>
  <c r="AF369" i="1" s="1"/>
  <c r="AI369" i="1" s="1"/>
  <c r="T369" i="1"/>
  <c r="R369" i="1"/>
  <c r="U369" i="1" s="1"/>
  <c r="P369" i="1"/>
  <c r="N369" i="1"/>
  <c r="L369" i="1"/>
  <c r="G369" i="1"/>
  <c r="E369" i="1"/>
  <c r="AH368" i="1"/>
  <c r="AG368" i="1"/>
  <c r="AB368" i="1"/>
  <c r="Z368" i="1"/>
  <c r="AC368" i="1" s="1"/>
  <c r="AF368" i="1" s="1"/>
  <c r="W368" i="1"/>
  <c r="T368" i="1"/>
  <c r="R368" i="1"/>
  <c r="U368" i="1" s="1"/>
  <c r="U366" i="1" s="1"/>
  <c r="K368" i="1"/>
  <c r="N368" i="1" s="1"/>
  <c r="N366" i="1" s="1"/>
  <c r="G368" i="1"/>
  <c r="AH366" i="1"/>
  <c r="AG366" i="1"/>
  <c r="AE366" i="1"/>
  <c r="AD366" i="1"/>
  <c r="Y366" i="1"/>
  <c r="V366" i="1"/>
  <c r="T366" i="1"/>
  <c r="S366" i="1"/>
  <c r="Q366" i="1"/>
  <c r="P366" i="1"/>
  <c r="O366" i="1"/>
  <c r="M366" i="1"/>
  <c r="L366" i="1"/>
  <c r="K366" i="1"/>
  <c r="J366" i="1"/>
  <c r="I366" i="1"/>
  <c r="H366" i="1"/>
  <c r="G366" i="1"/>
  <c r="F366" i="1"/>
  <c r="E366" i="1"/>
  <c r="D366" i="1"/>
  <c r="C366" i="1"/>
  <c r="AE365" i="1"/>
  <c r="R365" i="1"/>
  <c r="U365" i="1" s="1"/>
  <c r="W365" i="1" s="1"/>
  <c r="K365" i="1"/>
  <c r="N365" i="1" s="1"/>
  <c r="G365" i="1"/>
  <c r="AC364" i="1"/>
  <c r="AF364" i="1" s="1"/>
  <c r="AI364" i="1" s="1"/>
  <c r="Z364" i="1"/>
  <c r="X363" i="1"/>
  <c r="Z363" i="1" s="1"/>
  <c r="Z362" i="1"/>
  <c r="AC362" i="1" s="1"/>
  <c r="AF362" i="1" s="1"/>
  <c r="AI362" i="1" s="1"/>
  <c r="X362" i="1"/>
  <c r="AC361" i="1"/>
  <c r="AF361" i="1" s="1"/>
  <c r="AI361" i="1" s="1"/>
  <c r="AB361" i="1"/>
  <c r="AE360" i="1"/>
  <c r="AE358" i="1" s="1"/>
  <c r="AB360" i="1"/>
  <c r="Z360" i="1"/>
  <c r="T360" i="1"/>
  <c r="R360" i="1"/>
  <c r="U360" i="1" s="1"/>
  <c r="U358" i="1" s="1"/>
  <c r="G360" i="1"/>
  <c r="K360" i="1" s="1"/>
  <c r="AH358" i="1"/>
  <c r="AG358" i="1"/>
  <c r="AD358" i="1"/>
  <c r="Y358" i="1"/>
  <c r="X358" i="1"/>
  <c r="V358" i="1"/>
  <c r="T358" i="1"/>
  <c r="S358" i="1"/>
  <c r="R358" i="1"/>
  <c r="Q358" i="1"/>
  <c r="P358" i="1"/>
  <c r="O358" i="1"/>
  <c r="M358" i="1"/>
  <c r="L358" i="1"/>
  <c r="J358" i="1"/>
  <c r="I358" i="1"/>
  <c r="H358" i="1"/>
  <c r="G358" i="1"/>
  <c r="F358" i="1"/>
  <c r="E358" i="1"/>
  <c r="D358" i="1"/>
  <c r="C358" i="1"/>
  <c r="R357" i="1"/>
  <c r="U357" i="1" s="1"/>
  <c r="W357" i="1" s="1"/>
  <c r="K357" i="1"/>
  <c r="N357" i="1" s="1"/>
  <c r="G357" i="1"/>
  <c r="R356" i="1"/>
  <c r="U356" i="1" s="1"/>
  <c r="K356" i="1"/>
  <c r="N356" i="1" s="1"/>
  <c r="N354" i="1" s="1"/>
  <c r="G356" i="1"/>
  <c r="AH354" i="1"/>
  <c r="AG354" i="1"/>
  <c r="AE354" i="1"/>
  <c r="AD354" i="1"/>
  <c r="Y354" i="1"/>
  <c r="X354" i="1"/>
  <c r="V354" i="1"/>
  <c r="T354" i="1"/>
  <c r="S354" i="1"/>
  <c r="Q354" i="1"/>
  <c r="P354" i="1"/>
  <c r="O354" i="1"/>
  <c r="M354" i="1"/>
  <c r="L354" i="1"/>
  <c r="J354" i="1"/>
  <c r="I354" i="1"/>
  <c r="H354" i="1"/>
  <c r="F354" i="1"/>
  <c r="E354" i="1"/>
  <c r="G354" i="1" s="1"/>
  <c r="K354" i="1" s="1"/>
  <c r="D354" i="1"/>
  <c r="C354" i="1"/>
  <c r="R353" i="1"/>
  <c r="U353" i="1" s="1"/>
  <c r="W353" i="1" s="1"/>
  <c r="K353" i="1"/>
  <c r="N353" i="1" s="1"/>
  <c r="G353" i="1"/>
  <c r="AG352" i="1"/>
  <c r="Z352" i="1"/>
  <c r="AC352" i="1" s="1"/>
  <c r="AF352" i="1" s="1"/>
  <c r="AI352" i="1" s="1"/>
  <c r="AG351" i="1"/>
  <c r="AC351" i="1"/>
  <c r="AF351" i="1" s="1"/>
  <c r="AI351" i="1" s="1"/>
  <c r="Z351" i="1"/>
  <c r="AC350" i="1"/>
  <c r="AF350" i="1" s="1"/>
  <c r="AI350" i="1" s="1"/>
  <c r="Z350" i="1"/>
  <c r="U350" i="1"/>
  <c r="R350" i="1"/>
  <c r="G350" i="1"/>
  <c r="K350" i="1" s="1"/>
  <c r="N350" i="1" s="1"/>
  <c r="AB349" i="1"/>
  <c r="AA349" i="1"/>
  <c r="Z349" i="1"/>
  <c r="AC349" i="1" s="1"/>
  <c r="AF349" i="1" s="1"/>
  <c r="AI349" i="1" s="1"/>
  <c r="W349" i="1"/>
  <c r="T349" i="1"/>
  <c r="R349" i="1"/>
  <c r="U349" i="1" s="1"/>
  <c r="U346" i="1" s="1"/>
  <c r="P349" i="1"/>
  <c r="G349" i="1"/>
  <c r="K349" i="1" s="1"/>
  <c r="N349" i="1" s="1"/>
  <c r="U348" i="1"/>
  <c r="W348" i="1" s="1"/>
  <c r="R348" i="1"/>
  <c r="G348" i="1"/>
  <c r="K348" i="1" s="1"/>
  <c r="N348" i="1" s="1"/>
  <c r="N346" i="1" s="1"/>
  <c r="AH346" i="1"/>
  <c r="AG346" i="1"/>
  <c r="AE346" i="1"/>
  <c r="AD346" i="1"/>
  <c r="Y346" i="1"/>
  <c r="X346" i="1"/>
  <c r="V346" i="1"/>
  <c r="T346" i="1"/>
  <c r="S346" i="1"/>
  <c r="R346" i="1"/>
  <c r="Q346" i="1"/>
  <c r="P346" i="1"/>
  <c r="O346" i="1"/>
  <c r="M346" i="1"/>
  <c r="L346" i="1"/>
  <c r="J346" i="1"/>
  <c r="I346" i="1"/>
  <c r="H346" i="1"/>
  <c r="F346" i="1"/>
  <c r="E346" i="1"/>
  <c r="D346" i="1"/>
  <c r="G346" i="1" s="1"/>
  <c r="K346" i="1" s="1"/>
  <c r="C346" i="1"/>
  <c r="R345" i="1"/>
  <c r="U345" i="1" s="1"/>
  <c r="W345" i="1" s="1"/>
  <c r="K345" i="1"/>
  <c r="N345" i="1" s="1"/>
  <c r="G345" i="1"/>
  <c r="AG344" i="1"/>
  <c r="AF344" i="1"/>
  <c r="AI344" i="1" s="1"/>
  <c r="AG343" i="1"/>
  <c r="AE343" i="1"/>
  <c r="AB343" i="1"/>
  <c r="AA343" i="1"/>
  <c r="Y343" i="1"/>
  <c r="W343" i="1"/>
  <c r="Z343" i="1" s="1"/>
  <c r="AC343" i="1" s="1"/>
  <c r="AF343" i="1" s="1"/>
  <c r="AI343" i="1" s="1"/>
  <c r="R343" i="1"/>
  <c r="U343" i="1" s="1"/>
  <c r="P343" i="1"/>
  <c r="G343" i="1"/>
  <c r="K343" i="1" s="1"/>
  <c r="E343" i="1"/>
  <c r="R342" i="1"/>
  <c r="U342" i="1" s="1"/>
  <c r="K342" i="1"/>
  <c r="N342" i="1" s="1"/>
  <c r="G342" i="1"/>
  <c r="AH340" i="1"/>
  <c r="AG340" i="1"/>
  <c r="AE340" i="1"/>
  <c r="AD340" i="1"/>
  <c r="Y340" i="1"/>
  <c r="X340" i="1"/>
  <c r="V340" i="1"/>
  <c r="T340" i="1"/>
  <c r="S340" i="1"/>
  <c r="R340" i="1"/>
  <c r="Q340" i="1"/>
  <c r="P340" i="1"/>
  <c r="O340" i="1"/>
  <c r="M340" i="1"/>
  <c r="L340" i="1"/>
  <c r="J340" i="1"/>
  <c r="I340" i="1"/>
  <c r="H340" i="1"/>
  <c r="G340" i="1"/>
  <c r="F340" i="1"/>
  <c r="E340" i="1"/>
  <c r="D340" i="1"/>
  <c r="C340" i="1"/>
  <c r="U339" i="1"/>
  <c r="W339" i="1" s="1"/>
  <c r="R339" i="1"/>
  <c r="G339" i="1"/>
  <c r="K339" i="1" s="1"/>
  <c r="N339" i="1" s="1"/>
  <c r="AB338" i="1"/>
  <c r="AC338" i="1" s="1"/>
  <c r="AF338" i="1" s="1"/>
  <c r="AI338" i="1" s="1"/>
  <c r="U337" i="1"/>
  <c r="W337" i="1" s="1"/>
  <c r="Z337" i="1" s="1"/>
  <c r="AC337" i="1" s="1"/>
  <c r="AF337" i="1" s="1"/>
  <c r="AI337" i="1" s="1"/>
  <c r="R337" i="1"/>
  <c r="G337" i="1"/>
  <c r="K337" i="1" s="1"/>
  <c r="N337" i="1" s="1"/>
  <c r="AA336" i="1"/>
  <c r="AC336" i="1" s="1"/>
  <c r="AF336" i="1" s="1"/>
  <c r="AI336" i="1" s="1"/>
  <c r="AF335" i="1"/>
  <c r="AI335" i="1" s="1"/>
  <c r="AF334" i="1"/>
  <c r="AI334" i="1" s="1"/>
  <c r="AB333" i="1"/>
  <c r="AA333" i="1"/>
  <c r="Z333" i="1"/>
  <c r="AC333" i="1" s="1"/>
  <c r="AF333" i="1" s="1"/>
  <c r="AI333" i="1" s="1"/>
  <c r="W333" i="1"/>
  <c r="T333" i="1"/>
  <c r="R333" i="1"/>
  <c r="U333" i="1" s="1"/>
  <c r="P333" i="1"/>
  <c r="G333" i="1"/>
  <c r="K333" i="1" s="1"/>
  <c r="N333" i="1" s="1"/>
  <c r="F333" i="1"/>
  <c r="AH332" i="1"/>
  <c r="R332" i="1"/>
  <c r="U332" i="1" s="1"/>
  <c r="K332" i="1"/>
  <c r="N332" i="1" s="1"/>
  <c r="G332" i="1"/>
  <c r="AH330" i="1"/>
  <c r="AG330" i="1"/>
  <c r="AE330" i="1"/>
  <c r="AD330" i="1"/>
  <c r="Y330" i="1"/>
  <c r="X330" i="1"/>
  <c r="V330" i="1"/>
  <c r="T330" i="1"/>
  <c r="S330" i="1"/>
  <c r="R330" i="1"/>
  <c r="Q330" i="1"/>
  <c r="P330" i="1"/>
  <c r="O330" i="1"/>
  <c r="M330" i="1"/>
  <c r="L330" i="1"/>
  <c r="J330" i="1"/>
  <c r="I330" i="1"/>
  <c r="H330" i="1"/>
  <c r="G330" i="1"/>
  <c r="K330" i="1" s="1"/>
  <c r="F330" i="1"/>
  <c r="E330" i="1"/>
  <c r="D330" i="1"/>
  <c r="C330" i="1"/>
  <c r="U329" i="1"/>
  <c r="W329" i="1" s="1"/>
  <c r="R329" i="1"/>
  <c r="G329" i="1"/>
  <c r="K329" i="1" s="1"/>
  <c r="N329" i="1" s="1"/>
  <c r="R328" i="1"/>
  <c r="U328" i="1" s="1"/>
  <c r="K328" i="1"/>
  <c r="N328" i="1" s="1"/>
  <c r="N326" i="1" s="1"/>
  <c r="G328" i="1"/>
  <c r="AH326" i="1"/>
  <c r="AG326" i="1"/>
  <c r="AE326" i="1"/>
  <c r="AD326" i="1"/>
  <c r="Y326" i="1"/>
  <c r="X326" i="1"/>
  <c r="V326" i="1"/>
  <c r="T326" i="1"/>
  <c r="S326" i="1"/>
  <c r="R326" i="1"/>
  <c r="Q326" i="1"/>
  <c r="P326" i="1"/>
  <c r="O326" i="1"/>
  <c r="M326" i="1"/>
  <c r="L326" i="1"/>
  <c r="J326" i="1"/>
  <c r="I326" i="1"/>
  <c r="H326" i="1"/>
  <c r="F326" i="1"/>
  <c r="E326" i="1"/>
  <c r="G326" i="1" s="1"/>
  <c r="K326" i="1" s="1"/>
  <c r="D326" i="1"/>
  <c r="C326" i="1"/>
  <c r="AG325" i="1"/>
  <c r="AA325" i="1"/>
  <c r="Z325" i="1"/>
  <c r="AC325" i="1" s="1"/>
  <c r="AF325" i="1" s="1"/>
  <c r="AI325" i="1" s="1"/>
  <c r="W325" i="1"/>
  <c r="P325" i="1"/>
  <c r="O325" i="1"/>
  <c r="R325" i="1" s="1"/>
  <c r="M325" i="1"/>
  <c r="F325" i="1"/>
  <c r="G325" i="1" s="1"/>
  <c r="K325" i="1" s="1"/>
  <c r="N325" i="1" s="1"/>
  <c r="AG324" i="1"/>
  <c r="AE324" i="1"/>
  <c r="AB324" i="1"/>
  <c r="Y324" i="1"/>
  <c r="W324" i="1"/>
  <c r="Z324" i="1" s="1"/>
  <c r="AC324" i="1" s="1"/>
  <c r="AF324" i="1" s="1"/>
  <c r="AI324" i="1" s="1"/>
  <c r="T324" i="1"/>
  <c r="R324" i="1"/>
  <c r="U324" i="1" s="1"/>
  <c r="P324" i="1"/>
  <c r="L324" i="1"/>
  <c r="F324" i="1"/>
  <c r="E324" i="1"/>
  <c r="G324" i="1" s="1"/>
  <c r="K324" i="1" s="1"/>
  <c r="N324" i="1" s="1"/>
  <c r="R323" i="1"/>
  <c r="U323" i="1" s="1"/>
  <c r="W323" i="1" s="1"/>
  <c r="K323" i="1"/>
  <c r="N323" i="1" s="1"/>
  <c r="G323" i="1"/>
  <c r="AA322" i="1"/>
  <c r="Z322" i="1"/>
  <c r="AC322" i="1" s="1"/>
  <c r="AF322" i="1" s="1"/>
  <c r="R322" i="1"/>
  <c r="U322" i="1" s="1"/>
  <c r="K322" i="1"/>
  <c r="N322" i="1" s="1"/>
  <c r="G322" i="1"/>
  <c r="AH320" i="1"/>
  <c r="AG320" i="1"/>
  <c r="AE320" i="1"/>
  <c r="AD320" i="1"/>
  <c r="AB320" i="1"/>
  <c r="AA320" i="1"/>
  <c r="Y320" i="1"/>
  <c r="X320" i="1"/>
  <c r="V320" i="1"/>
  <c r="T320" i="1"/>
  <c r="S320" i="1"/>
  <c r="Q320" i="1"/>
  <c r="P320" i="1"/>
  <c r="O320" i="1"/>
  <c r="M320" i="1"/>
  <c r="L320" i="1"/>
  <c r="K320" i="1"/>
  <c r="J320" i="1"/>
  <c r="I320" i="1"/>
  <c r="H320" i="1"/>
  <c r="G320" i="1"/>
  <c r="F320" i="1"/>
  <c r="E320" i="1"/>
  <c r="D320" i="1"/>
  <c r="C320" i="1"/>
  <c r="R319" i="1"/>
  <c r="U319" i="1" s="1"/>
  <c r="W319" i="1" s="1"/>
  <c r="K319" i="1"/>
  <c r="N319" i="1" s="1"/>
  <c r="G319" i="1"/>
  <c r="AG318" i="1"/>
  <c r="AE318" i="1"/>
  <c r="AB318" i="1"/>
  <c r="Z318" i="1"/>
  <c r="AC318" i="1" s="1"/>
  <c r="AF318" i="1" s="1"/>
  <c r="AI318" i="1" s="1"/>
  <c r="W318" i="1"/>
  <c r="U318" i="1"/>
  <c r="R318" i="1"/>
  <c r="G318" i="1"/>
  <c r="K318" i="1" s="1"/>
  <c r="N318" i="1" s="1"/>
  <c r="AG317" i="1"/>
  <c r="AB317" i="1"/>
  <c r="Z317" i="1"/>
  <c r="AC317" i="1" s="1"/>
  <c r="AF317" i="1" s="1"/>
  <c r="AI317" i="1" s="1"/>
  <c r="W317" i="1"/>
  <c r="T317" i="1"/>
  <c r="R317" i="1"/>
  <c r="U317" i="1" s="1"/>
  <c r="P317" i="1"/>
  <c r="G317" i="1"/>
  <c r="K317" i="1" s="1"/>
  <c r="N317" i="1" s="1"/>
  <c r="AG316" i="1"/>
  <c r="AB316" i="1"/>
  <c r="Y316" i="1"/>
  <c r="W316" i="1"/>
  <c r="Z316" i="1" s="1"/>
  <c r="AC316" i="1" s="1"/>
  <c r="AF316" i="1" s="1"/>
  <c r="AI316" i="1" s="1"/>
  <c r="T316" i="1"/>
  <c r="T311" i="1" s="1"/>
  <c r="P316" i="1"/>
  <c r="R316" i="1" s="1"/>
  <c r="U316" i="1" s="1"/>
  <c r="F316" i="1"/>
  <c r="G316" i="1" s="1"/>
  <c r="K316" i="1" s="1"/>
  <c r="N316" i="1" s="1"/>
  <c r="AG315" i="1"/>
  <c r="AE315" i="1"/>
  <c r="AB315" i="1"/>
  <c r="Y315" i="1"/>
  <c r="Z315" i="1" s="1"/>
  <c r="AC315" i="1" s="1"/>
  <c r="AF315" i="1" s="1"/>
  <c r="AI315" i="1" s="1"/>
  <c r="R315" i="1"/>
  <c r="U315" i="1" s="1"/>
  <c r="P315" i="1"/>
  <c r="G315" i="1"/>
  <c r="K315" i="1" s="1"/>
  <c r="N315" i="1" s="1"/>
  <c r="AG314" i="1"/>
  <c r="AC314" i="1"/>
  <c r="AF314" i="1" s="1"/>
  <c r="AI314" i="1" s="1"/>
  <c r="Z314" i="1"/>
  <c r="T314" i="1"/>
  <c r="R314" i="1"/>
  <c r="U314" i="1" s="1"/>
  <c r="P314" i="1"/>
  <c r="F314" i="1"/>
  <c r="E314" i="1"/>
  <c r="G314" i="1" s="1"/>
  <c r="R313" i="1"/>
  <c r="U313" i="1" s="1"/>
  <c r="K313" i="1"/>
  <c r="N313" i="1" s="1"/>
  <c r="G313" i="1"/>
  <c r="AH311" i="1"/>
  <c r="AG311" i="1"/>
  <c r="AE311" i="1"/>
  <c r="AD311" i="1"/>
  <c r="Y311" i="1"/>
  <c r="X311" i="1"/>
  <c r="V311" i="1"/>
  <c r="S311" i="1"/>
  <c r="Q311" i="1"/>
  <c r="O311" i="1"/>
  <c r="M311" i="1"/>
  <c r="L311" i="1"/>
  <c r="J311" i="1"/>
  <c r="I311" i="1"/>
  <c r="H311" i="1"/>
  <c r="E311" i="1"/>
  <c r="D311" i="1"/>
  <c r="C311" i="1"/>
  <c r="R310" i="1"/>
  <c r="U310" i="1" s="1"/>
  <c r="W310" i="1" s="1"/>
  <c r="K310" i="1"/>
  <c r="N310" i="1" s="1"/>
  <c r="G310" i="1"/>
  <c r="Y309" i="1"/>
  <c r="Y305" i="1" s="1"/>
  <c r="W309" i="1"/>
  <c r="Z309" i="1" s="1"/>
  <c r="AC309" i="1" s="1"/>
  <c r="AF309" i="1" s="1"/>
  <c r="AI309" i="1" s="1"/>
  <c r="U309" i="1"/>
  <c r="R309" i="1"/>
  <c r="N309" i="1"/>
  <c r="K309" i="1"/>
  <c r="G309" i="1"/>
  <c r="Z308" i="1"/>
  <c r="AC308" i="1" s="1"/>
  <c r="AF308" i="1" s="1"/>
  <c r="AI308" i="1" s="1"/>
  <c r="W308" i="1"/>
  <c r="U308" i="1"/>
  <c r="R308" i="1"/>
  <c r="G308" i="1"/>
  <c r="K308" i="1" s="1"/>
  <c r="N308" i="1" s="1"/>
  <c r="U307" i="1"/>
  <c r="W307" i="1" s="1"/>
  <c r="R307" i="1"/>
  <c r="G307" i="1"/>
  <c r="K307" i="1" s="1"/>
  <c r="AH305" i="1"/>
  <c r="AG305" i="1"/>
  <c r="AE305" i="1"/>
  <c r="AD305" i="1"/>
  <c r="X305" i="1"/>
  <c r="V305" i="1"/>
  <c r="T305" i="1"/>
  <c r="S305" i="1"/>
  <c r="R305" i="1"/>
  <c r="Q305" i="1"/>
  <c r="P305" i="1"/>
  <c r="O305" i="1"/>
  <c r="M305" i="1"/>
  <c r="L305" i="1"/>
  <c r="J305" i="1"/>
  <c r="I305" i="1"/>
  <c r="H305" i="1"/>
  <c r="F305" i="1"/>
  <c r="E305" i="1"/>
  <c r="D305" i="1"/>
  <c r="C305" i="1"/>
  <c r="U304" i="1"/>
  <c r="W304" i="1" s="1"/>
  <c r="R304" i="1"/>
  <c r="G304" i="1"/>
  <c r="K304" i="1" s="1"/>
  <c r="N304" i="1" s="1"/>
  <c r="N297" i="1" s="1"/>
  <c r="AG303" i="1"/>
  <c r="AI303" i="1" s="1"/>
  <c r="Z302" i="1"/>
  <c r="AC302" i="1" s="1"/>
  <c r="AF302" i="1" s="1"/>
  <c r="AI302" i="1" s="1"/>
  <c r="W302" i="1"/>
  <c r="W301" i="1"/>
  <c r="Z301" i="1" s="1"/>
  <c r="AC301" i="1" s="1"/>
  <c r="AF301" i="1" s="1"/>
  <c r="AI301" i="1" s="1"/>
  <c r="Z300" i="1"/>
  <c r="AC300" i="1" s="1"/>
  <c r="AF300" i="1" s="1"/>
  <c r="AI300" i="1" s="1"/>
  <c r="W300" i="1"/>
  <c r="W299" i="1"/>
  <c r="Z299" i="1" s="1"/>
  <c r="AC299" i="1" s="1"/>
  <c r="AF299" i="1" s="1"/>
  <c r="AH297" i="1"/>
  <c r="AH395" i="1" s="1"/>
  <c r="AE297" i="1"/>
  <c r="AE395" i="1" s="1"/>
  <c r="AD297" i="1"/>
  <c r="AD395" i="1" s="1"/>
  <c r="AB297" i="1"/>
  <c r="AA297" i="1"/>
  <c r="Y297" i="1"/>
  <c r="X297" i="1"/>
  <c r="X395" i="1" s="1"/>
  <c r="V297" i="1"/>
  <c r="T297" i="1"/>
  <c r="S297" i="1"/>
  <c r="Q297" i="1"/>
  <c r="Q395" i="1" s="1"/>
  <c r="P297" i="1"/>
  <c r="O297" i="1"/>
  <c r="O395" i="1" s="1"/>
  <c r="M297" i="1"/>
  <c r="M395" i="1" s="1"/>
  <c r="L297" i="1"/>
  <c r="L395" i="1" s="1"/>
  <c r="J297" i="1"/>
  <c r="J395" i="1" s="1"/>
  <c r="I297" i="1"/>
  <c r="I395" i="1" s="1"/>
  <c r="H297" i="1"/>
  <c r="H395" i="1" s="1"/>
  <c r="F297" i="1"/>
  <c r="E297" i="1"/>
  <c r="E395" i="1" s="1"/>
  <c r="D297" i="1"/>
  <c r="D395" i="1" s="1"/>
  <c r="C297" i="1"/>
  <c r="C395" i="1" s="1"/>
  <c r="AG293" i="1"/>
  <c r="AE293" i="1"/>
  <c r="AB293" i="1"/>
  <c r="AB288" i="1" s="1"/>
  <c r="Y293" i="1"/>
  <c r="X293" i="1"/>
  <c r="W293" i="1"/>
  <c r="Z293" i="1" s="1"/>
  <c r="AC293" i="1" s="1"/>
  <c r="AF293" i="1" s="1"/>
  <c r="AI293" i="1" s="1"/>
  <c r="R293" i="1"/>
  <c r="U293" i="1" s="1"/>
  <c r="K293" i="1"/>
  <c r="N293" i="1" s="1"/>
  <c r="G293" i="1"/>
  <c r="AG292" i="1"/>
  <c r="Z292" i="1"/>
  <c r="AC292" i="1" s="1"/>
  <c r="AF292" i="1" s="1"/>
  <c r="AI292" i="1" s="1"/>
  <c r="R292" i="1"/>
  <c r="U292" i="1" s="1"/>
  <c r="K292" i="1"/>
  <c r="N292" i="1" s="1"/>
  <c r="G292" i="1"/>
  <c r="W291" i="1"/>
  <c r="Z291" i="1" s="1"/>
  <c r="AC291" i="1" s="1"/>
  <c r="AF291" i="1" s="1"/>
  <c r="AI291" i="1" s="1"/>
  <c r="R291" i="1"/>
  <c r="U291" i="1" s="1"/>
  <c r="K291" i="1"/>
  <c r="N291" i="1" s="1"/>
  <c r="G291" i="1"/>
  <c r="Y290" i="1"/>
  <c r="Z290" i="1" s="1"/>
  <c r="AC290" i="1" s="1"/>
  <c r="AF290" i="1" s="1"/>
  <c r="R290" i="1"/>
  <c r="U290" i="1" s="1"/>
  <c r="U288" i="1" s="1"/>
  <c r="K290" i="1"/>
  <c r="N290" i="1" s="1"/>
  <c r="G290" i="1"/>
  <c r="AH288" i="1"/>
  <c r="AG288" i="1"/>
  <c r="AE288" i="1"/>
  <c r="AD288" i="1"/>
  <c r="AA288" i="1"/>
  <c r="Y288" i="1"/>
  <c r="X288" i="1"/>
  <c r="W288" i="1"/>
  <c r="V288" i="1"/>
  <c r="T288" i="1"/>
  <c r="S288" i="1"/>
  <c r="Q288" i="1"/>
  <c r="P288" i="1"/>
  <c r="O288" i="1"/>
  <c r="M288" i="1"/>
  <c r="L288" i="1"/>
  <c r="J288" i="1"/>
  <c r="I288" i="1"/>
  <c r="H288" i="1"/>
  <c r="G288" i="1"/>
  <c r="K288" i="1" s="1"/>
  <c r="F288" i="1"/>
  <c r="E288" i="1"/>
  <c r="D288" i="1"/>
  <c r="C288" i="1"/>
  <c r="AG287" i="1"/>
  <c r="AE287" i="1"/>
  <c r="Y287" i="1"/>
  <c r="W287" i="1"/>
  <c r="Z287" i="1" s="1"/>
  <c r="AC287" i="1" s="1"/>
  <c r="AF287" i="1" s="1"/>
  <c r="AI287" i="1" s="1"/>
  <c r="T287" i="1"/>
  <c r="P287" i="1"/>
  <c r="R287" i="1" s="1"/>
  <c r="L287" i="1"/>
  <c r="L283" i="1" s="1"/>
  <c r="G287" i="1"/>
  <c r="K287" i="1" s="1"/>
  <c r="N287" i="1" s="1"/>
  <c r="AE286" i="1"/>
  <c r="Y286" i="1"/>
  <c r="Z286" i="1" s="1"/>
  <c r="AC286" i="1" s="1"/>
  <c r="AF286" i="1" s="1"/>
  <c r="AI286" i="1" s="1"/>
  <c r="T286" i="1"/>
  <c r="U286" i="1" s="1"/>
  <c r="U285" i="1"/>
  <c r="W285" i="1" s="1"/>
  <c r="R285" i="1"/>
  <c r="N285" i="1"/>
  <c r="N283" i="1" s="1"/>
  <c r="K285" i="1"/>
  <c r="AH283" i="1"/>
  <c r="AG283" i="1"/>
  <c r="AE283" i="1"/>
  <c r="AD283" i="1"/>
  <c r="AA283" i="1"/>
  <c r="Y283" i="1"/>
  <c r="X283" i="1"/>
  <c r="V283" i="1"/>
  <c r="S283" i="1"/>
  <c r="Q283" i="1"/>
  <c r="O283" i="1"/>
  <c r="M283" i="1"/>
  <c r="J283" i="1"/>
  <c r="I283" i="1"/>
  <c r="H283" i="1"/>
  <c r="G283" i="1"/>
  <c r="K283" i="1" s="1"/>
  <c r="F283" i="1"/>
  <c r="E283" i="1"/>
  <c r="D283" i="1"/>
  <c r="C283" i="1"/>
  <c r="AA282" i="1"/>
  <c r="W282" i="1"/>
  <c r="Z282" i="1" s="1"/>
  <c r="AC282" i="1" s="1"/>
  <c r="AF282" i="1" s="1"/>
  <c r="AI282" i="1" s="1"/>
  <c r="R282" i="1"/>
  <c r="U282" i="1" s="1"/>
  <c r="K282" i="1"/>
  <c r="N282" i="1" s="1"/>
  <c r="G282" i="1"/>
  <c r="W281" i="1"/>
  <c r="Z281" i="1" s="1"/>
  <c r="AC281" i="1" s="1"/>
  <c r="AF281" i="1" s="1"/>
  <c r="AI281" i="1" s="1"/>
  <c r="R281" i="1"/>
  <c r="U281" i="1" s="1"/>
  <c r="K281" i="1"/>
  <c r="N281" i="1" s="1"/>
  <c r="G281" i="1"/>
  <c r="AE280" i="1"/>
  <c r="AB280" i="1"/>
  <c r="AB278" i="1" s="1"/>
  <c r="R280" i="1"/>
  <c r="U280" i="1" s="1"/>
  <c r="K280" i="1"/>
  <c r="N280" i="1" s="1"/>
  <c r="N278" i="1" s="1"/>
  <c r="G280" i="1"/>
  <c r="AH278" i="1"/>
  <c r="AG278" i="1"/>
  <c r="AE278" i="1"/>
  <c r="AD278" i="1"/>
  <c r="AA278" i="1"/>
  <c r="Y278" i="1"/>
  <c r="X278" i="1"/>
  <c r="V278" i="1"/>
  <c r="T278" i="1"/>
  <c r="S278" i="1"/>
  <c r="Q278" i="1"/>
  <c r="P278" i="1"/>
  <c r="O278" i="1"/>
  <c r="M278" i="1"/>
  <c r="L278" i="1"/>
  <c r="J278" i="1"/>
  <c r="I278" i="1"/>
  <c r="H278" i="1"/>
  <c r="F278" i="1"/>
  <c r="E278" i="1"/>
  <c r="G278" i="1" s="1"/>
  <c r="K278" i="1" s="1"/>
  <c r="D278" i="1"/>
  <c r="C278" i="1"/>
  <c r="AG277" i="1"/>
  <c r="AB277" i="1"/>
  <c r="AA277" i="1"/>
  <c r="Y277" i="1"/>
  <c r="W277" i="1"/>
  <c r="Z277" i="1" s="1"/>
  <c r="AC277" i="1" s="1"/>
  <c r="AF277" i="1" s="1"/>
  <c r="AI277" i="1" s="1"/>
  <c r="T277" i="1"/>
  <c r="R277" i="1"/>
  <c r="U277" i="1" s="1"/>
  <c r="P277" i="1"/>
  <c r="G277" i="1"/>
  <c r="K277" i="1" s="1"/>
  <c r="N277" i="1" s="1"/>
  <c r="D277" i="1"/>
  <c r="AC276" i="1"/>
  <c r="AF276" i="1" s="1"/>
  <c r="AI276" i="1" s="1"/>
  <c r="AB276" i="1"/>
  <c r="AC275" i="1"/>
  <c r="AF275" i="1" s="1"/>
  <c r="AI275" i="1" s="1"/>
  <c r="AB275" i="1"/>
  <c r="W274" i="1"/>
  <c r="Z274" i="1" s="1"/>
  <c r="AC274" i="1" s="1"/>
  <c r="AF274" i="1" s="1"/>
  <c r="AI274" i="1" s="1"/>
  <c r="Z273" i="1"/>
  <c r="AC273" i="1" s="1"/>
  <c r="AF273" i="1" s="1"/>
  <c r="AI273" i="1" s="1"/>
  <c r="W273" i="1"/>
  <c r="AC272" i="1"/>
  <c r="AF272" i="1" s="1"/>
  <c r="AI272" i="1" s="1"/>
  <c r="Z272" i="1"/>
  <c r="U272" i="1"/>
  <c r="R272" i="1"/>
  <c r="G272" i="1"/>
  <c r="K272" i="1" s="1"/>
  <c r="N272" i="1" s="1"/>
  <c r="U271" i="1"/>
  <c r="W271" i="1" s="1"/>
  <c r="Z271" i="1" s="1"/>
  <c r="AC271" i="1" s="1"/>
  <c r="AF271" i="1" s="1"/>
  <c r="AI271" i="1" s="1"/>
  <c r="R271" i="1"/>
  <c r="G271" i="1"/>
  <c r="K271" i="1" s="1"/>
  <c r="N271" i="1" s="1"/>
  <c r="U270" i="1"/>
  <c r="W270" i="1" s="1"/>
  <c r="Z270" i="1" s="1"/>
  <c r="AC270" i="1" s="1"/>
  <c r="AF270" i="1" s="1"/>
  <c r="AI270" i="1" s="1"/>
  <c r="R270" i="1"/>
  <c r="G270" i="1"/>
  <c r="K270" i="1" s="1"/>
  <c r="N270" i="1" s="1"/>
  <c r="U269" i="1"/>
  <c r="W269" i="1" s="1"/>
  <c r="Z269" i="1" s="1"/>
  <c r="AC269" i="1" s="1"/>
  <c r="AF269" i="1" s="1"/>
  <c r="AI269" i="1" s="1"/>
  <c r="R269" i="1"/>
  <c r="G269" i="1"/>
  <c r="K269" i="1" s="1"/>
  <c r="N269" i="1" s="1"/>
  <c r="Z268" i="1"/>
  <c r="AC268" i="1" s="1"/>
  <c r="AF268" i="1" s="1"/>
  <c r="AI268" i="1" s="1"/>
  <c r="W268" i="1"/>
  <c r="U268" i="1"/>
  <c r="R268" i="1"/>
  <c r="G268" i="1"/>
  <c r="K268" i="1" s="1"/>
  <c r="N268" i="1" s="1"/>
  <c r="U267" i="1"/>
  <c r="W267" i="1" s="1"/>
  <c r="Z267" i="1" s="1"/>
  <c r="AC267" i="1" s="1"/>
  <c r="AF267" i="1" s="1"/>
  <c r="AI267" i="1" s="1"/>
  <c r="R267" i="1"/>
  <c r="G267" i="1"/>
  <c r="K267" i="1" s="1"/>
  <c r="N267" i="1" s="1"/>
  <c r="U266" i="1"/>
  <c r="W266" i="1" s="1"/>
  <c r="R266" i="1"/>
  <c r="G266" i="1"/>
  <c r="K266" i="1" s="1"/>
  <c r="N266" i="1" s="1"/>
  <c r="Z265" i="1"/>
  <c r="AC265" i="1" s="1"/>
  <c r="AF265" i="1" s="1"/>
  <c r="AI265" i="1" s="1"/>
  <c r="R265" i="1"/>
  <c r="U265" i="1" s="1"/>
  <c r="K265" i="1"/>
  <c r="N265" i="1" s="1"/>
  <c r="G265" i="1"/>
  <c r="AC264" i="1"/>
  <c r="AF264" i="1" s="1"/>
  <c r="AI264" i="1" s="1"/>
  <c r="AB264" i="1"/>
  <c r="AC263" i="1"/>
  <c r="AF263" i="1" s="1"/>
  <c r="AI263" i="1" s="1"/>
  <c r="AB263" i="1"/>
  <c r="AC262" i="1"/>
  <c r="AF262" i="1" s="1"/>
  <c r="AI262" i="1" s="1"/>
  <c r="Z262" i="1"/>
  <c r="U262" i="1"/>
  <c r="R262" i="1"/>
  <c r="G262" i="1"/>
  <c r="K262" i="1" s="1"/>
  <c r="N262" i="1" s="1"/>
  <c r="Z261" i="1"/>
  <c r="AC261" i="1" s="1"/>
  <c r="AF261" i="1" s="1"/>
  <c r="AI261" i="1" s="1"/>
  <c r="W261" i="1"/>
  <c r="U261" i="1"/>
  <c r="R261" i="1"/>
  <c r="G261" i="1"/>
  <c r="K261" i="1" s="1"/>
  <c r="N261" i="1" s="1"/>
  <c r="Z260" i="1"/>
  <c r="AC260" i="1" s="1"/>
  <c r="AF260" i="1" s="1"/>
  <c r="AI260" i="1" s="1"/>
  <c r="W260" i="1"/>
  <c r="U260" i="1"/>
  <c r="R260" i="1"/>
  <c r="G260" i="1"/>
  <c r="K260" i="1" s="1"/>
  <c r="N260" i="1" s="1"/>
  <c r="AA259" i="1"/>
  <c r="Z259" i="1"/>
  <c r="AC259" i="1" s="1"/>
  <c r="AF259" i="1" s="1"/>
  <c r="AI259" i="1" s="1"/>
  <c r="U259" i="1"/>
  <c r="R259" i="1"/>
  <c r="G259" i="1"/>
  <c r="K259" i="1" s="1"/>
  <c r="N259" i="1" s="1"/>
  <c r="AG258" i="1"/>
  <c r="AA258" i="1"/>
  <c r="Z258" i="1"/>
  <c r="AC258" i="1" s="1"/>
  <c r="AF258" i="1" s="1"/>
  <c r="AI258" i="1" s="1"/>
  <c r="R258" i="1"/>
  <c r="U258" i="1" s="1"/>
  <c r="K258" i="1"/>
  <c r="N258" i="1" s="1"/>
  <c r="G258" i="1"/>
  <c r="AG257" i="1"/>
  <c r="Z257" i="1"/>
  <c r="R257" i="1"/>
  <c r="U257" i="1" s="1"/>
  <c r="U255" i="1" s="1"/>
  <c r="K257" i="1"/>
  <c r="N257" i="1" s="1"/>
  <c r="G257" i="1"/>
  <c r="AH255" i="1"/>
  <c r="AG255" i="1"/>
  <c r="AE255" i="1"/>
  <c r="AD255" i="1"/>
  <c r="Y255" i="1"/>
  <c r="X255" i="1"/>
  <c r="V255" i="1"/>
  <c r="T255" i="1"/>
  <c r="S255" i="1"/>
  <c r="Q255" i="1"/>
  <c r="P255" i="1"/>
  <c r="O255" i="1"/>
  <c r="M255" i="1"/>
  <c r="L255" i="1"/>
  <c r="J255" i="1"/>
  <c r="I255" i="1"/>
  <c r="H255" i="1"/>
  <c r="F255" i="1"/>
  <c r="E255" i="1"/>
  <c r="G255" i="1" s="1"/>
  <c r="K255" i="1" s="1"/>
  <c r="D255" i="1"/>
  <c r="C255" i="1"/>
  <c r="AH254" i="1"/>
  <c r="AG254" i="1"/>
  <c r="AE254" i="1"/>
  <c r="AB254" i="1"/>
  <c r="AA254" i="1"/>
  <c r="AA251" i="1" s="1"/>
  <c r="W254" i="1"/>
  <c r="Z254" i="1" s="1"/>
  <c r="AC254" i="1" s="1"/>
  <c r="AF254" i="1" s="1"/>
  <c r="AI254" i="1" s="1"/>
  <c r="T254" i="1"/>
  <c r="P254" i="1"/>
  <c r="R254" i="1" s="1"/>
  <c r="U254" i="1" s="1"/>
  <c r="L254" i="1"/>
  <c r="N254" i="1" s="1"/>
  <c r="E254" i="1"/>
  <c r="G254" i="1" s="1"/>
  <c r="AH253" i="1"/>
  <c r="AB253" i="1"/>
  <c r="Z253" i="1"/>
  <c r="AC253" i="1" s="1"/>
  <c r="AF253" i="1" s="1"/>
  <c r="AI253" i="1" s="1"/>
  <c r="W253" i="1"/>
  <c r="U253" i="1"/>
  <c r="U251" i="1" s="1"/>
  <c r="R253" i="1"/>
  <c r="G253" i="1"/>
  <c r="AH251" i="1"/>
  <c r="AG251" i="1"/>
  <c r="AF251" i="1"/>
  <c r="AI251" i="1" s="1"/>
  <c r="AE251" i="1"/>
  <c r="AD251" i="1"/>
  <c r="AB251" i="1"/>
  <c r="Y251" i="1"/>
  <c r="X251" i="1"/>
  <c r="V251" i="1"/>
  <c r="T251" i="1"/>
  <c r="S251" i="1"/>
  <c r="R251" i="1"/>
  <c r="Q251" i="1"/>
  <c r="P251" i="1"/>
  <c r="O251" i="1"/>
  <c r="M251" i="1"/>
  <c r="L251" i="1"/>
  <c r="J251" i="1"/>
  <c r="I251" i="1"/>
  <c r="H251" i="1"/>
  <c r="F251" i="1"/>
  <c r="D251" i="1"/>
  <c r="C251" i="1"/>
  <c r="AG250" i="1"/>
  <c r="AE250" i="1"/>
  <c r="AB250" i="1"/>
  <c r="AA250" i="1"/>
  <c r="W250" i="1"/>
  <c r="Z250" i="1" s="1"/>
  <c r="AC250" i="1" s="1"/>
  <c r="AF250" i="1" s="1"/>
  <c r="AI250" i="1" s="1"/>
  <c r="T250" i="1"/>
  <c r="R250" i="1"/>
  <c r="F250" i="1"/>
  <c r="G250" i="1" s="1"/>
  <c r="K250" i="1" s="1"/>
  <c r="N250" i="1" s="1"/>
  <c r="AF249" i="1"/>
  <c r="AI249" i="1" s="1"/>
  <c r="AE249" i="1"/>
  <c r="AC248" i="1"/>
  <c r="AF248" i="1" s="1"/>
  <c r="AI248" i="1" s="1"/>
  <c r="AA248" i="1"/>
  <c r="W247" i="1"/>
  <c r="Z247" i="1" s="1"/>
  <c r="AC247" i="1" s="1"/>
  <c r="AF247" i="1" s="1"/>
  <c r="AI247" i="1" s="1"/>
  <c r="Z246" i="1"/>
  <c r="AC246" i="1" s="1"/>
  <c r="AF246" i="1" s="1"/>
  <c r="AI246" i="1" s="1"/>
  <c r="W246" i="1"/>
  <c r="W245" i="1"/>
  <c r="Z245" i="1" s="1"/>
  <c r="AC245" i="1" s="1"/>
  <c r="AF245" i="1" s="1"/>
  <c r="AI245" i="1" s="1"/>
  <c r="AA244" i="1"/>
  <c r="W244" i="1"/>
  <c r="Z244" i="1" s="1"/>
  <c r="AF243" i="1"/>
  <c r="AI243" i="1" s="1"/>
  <c r="AB243" i="1"/>
  <c r="AC243" i="1" s="1"/>
  <c r="AF242" i="1"/>
  <c r="AI242" i="1" s="1"/>
  <c r="AB242" i="1"/>
  <c r="AC242" i="1" s="1"/>
  <c r="AG241" i="1"/>
  <c r="W241" i="1"/>
  <c r="Z241" i="1" s="1"/>
  <c r="AC241" i="1" s="1"/>
  <c r="AF241" i="1" s="1"/>
  <c r="AI241" i="1" s="1"/>
  <c r="Z240" i="1"/>
  <c r="AC240" i="1" s="1"/>
  <c r="AF240" i="1" s="1"/>
  <c r="AI240" i="1" s="1"/>
  <c r="W240" i="1"/>
  <c r="AG239" i="1"/>
  <c r="Z239" i="1"/>
  <c r="AC239" i="1" s="1"/>
  <c r="AF239" i="1" s="1"/>
  <c r="AI239" i="1" s="1"/>
  <c r="W239" i="1"/>
  <c r="U239" i="1"/>
  <c r="R239" i="1"/>
  <c r="W238" i="1"/>
  <c r="Z238" i="1" s="1"/>
  <c r="AC238" i="1" s="1"/>
  <c r="AF238" i="1" s="1"/>
  <c r="AI238" i="1" s="1"/>
  <c r="AG237" i="1"/>
  <c r="AC237" i="1"/>
  <c r="AF237" i="1" s="1"/>
  <c r="AI237" i="1" s="1"/>
  <c r="Z237" i="1"/>
  <c r="U237" i="1"/>
  <c r="R237" i="1"/>
  <c r="N237" i="1"/>
  <c r="U236" i="1"/>
  <c r="W236" i="1" s="1"/>
  <c r="Z236" i="1" s="1"/>
  <c r="AC236" i="1" s="1"/>
  <c r="AF236" i="1" s="1"/>
  <c r="AI236" i="1" s="1"/>
  <c r="R236" i="1"/>
  <c r="G236" i="1"/>
  <c r="K236" i="1" s="1"/>
  <c r="N236" i="1" s="1"/>
  <c r="U235" i="1"/>
  <c r="W235" i="1" s="1"/>
  <c r="Z235" i="1" s="1"/>
  <c r="AC235" i="1" s="1"/>
  <c r="AF235" i="1" s="1"/>
  <c r="AI235" i="1" s="1"/>
  <c r="R235" i="1"/>
  <c r="R234" i="1"/>
  <c r="U234" i="1" s="1"/>
  <c r="W234" i="1" s="1"/>
  <c r="Z234" i="1" s="1"/>
  <c r="AC234" i="1" s="1"/>
  <c r="AF234" i="1" s="1"/>
  <c r="AI234" i="1" s="1"/>
  <c r="K234" i="1"/>
  <c r="N234" i="1" s="1"/>
  <c r="G234" i="1"/>
  <c r="AE233" i="1"/>
  <c r="AF233" i="1" s="1"/>
  <c r="AI233" i="1" s="1"/>
  <c r="Z232" i="1"/>
  <c r="AC232" i="1" s="1"/>
  <c r="AF232" i="1" s="1"/>
  <c r="AI232" i="1" s="1"/>
  <c r="R232" i="1"/>
  <c r="U232" i="1" s="1"/>
  <c r="K232" i="1"/>
  <c r="N232" i="1" s="1"/>
  <c r="Z231" i="1"/>
  <c r="AC231" i="1" s="1"/>
  <c r="AF231" i="1" s="1"/>
  <c r="AI231" i="1" s="1"/>
  <c r="R231" i="1"/>
  <c r="U231" i="1" s="1"/>
  <c r="K231" i="1"/>
  <c r="N231" i="1" s="1"/>
  <c r="G231" i="1"/>
  <c r="AC230" i="1"/>
  <c r="AF230" i="1" s="1"/>
  <c r="AI230" i="1" s="1"/>
  <c r="Z230" i="1"/>
  <c r="U230" i="1"/>
  <c r="R230" i="1"/>
  <c r="G230" i="1"/>
  <c r="K230" i="1" s="1"/>
  <c r="N230" i="1" s="1"/>
  <c r="Z229" i="1"/>
  <c r="AC229" i="1" s="1"/>
  <c r="AF229" i="1" s="1"/>
  <c r="AI229" i="1" s="1"/>
  <c r="R229" i="1"/>
  <c r="U229" i="1" s="1"/>
  <c r="K229" i="1"/>
  <c r="N229" i="1" s="1"/>
  <c r="AF228" i="1"/>
  <c r="AI228" i="1" s="1"/>
  <c r="AE228" i="1"/>
  <c r="AC227" i="1"/>
  <c r="AF227" i="1" s="1"/>
  <c r="AI227" i="1" s="1"/>
  <c r="AA227" i="1"/>
  <c r="W226" i="1"/>
  <c r="Z226" i="1" s="1"/>
  <c r="AC226" i="1" s="1"/>
  <c r="AF226" i="1" s="1"/>
  <c r="AI226" i="1" s="1"/>
  <c r="U225" i="1"/>
  <c r="W225" i="1" s="1"/>
  <c r="Z225" i="1" s="1"/>
  <c r="AC225" i="1" s="1"/>
  <c r="AF225" i="1" s="1"/>
  <c r="AI225" i="1" s="1"/>
  <c r="R225" i="1"/>
  <c r="N225" i="1"/>
  <c r="K225" i="1"/>
  <c r="W224" i="1"/>
  <c r="Z224" i="1" s="1"/>
  <c r="AC224" i="1" s="1"/>
  <c r="AF224" i="1" s="1"/>
  <c r="AI224" i="1" s="1"/>
  <c r="AE223" i="1"/>
  <c r="AC223" i="1"/>
  <c r="AF223" i="1" s="1"/>
  <c r="AI223" i="1" s="1"/>
  <c r="AE222" i="1"/>
  <c r="Y222" i="1"/>
  <c r="Z222" i="1" s="1"/>
  <c r="AC222" i="1" s="1"/>
  <c r="AF222" i="1" s="1"/>
  <c r="AI222" i="1" s="1"/>
  <c r="AG221" i="1"/>
  <c r="AC221" i="1"/>
  <c r="AF221" i="1" s="1"/>
  <c r="AI221" i="1" s="1"/>
  <c r="Z221" i="1"/>
  <c r="U221" i="1"/>
  <c r="R221" i="1"/>
  <c r="G221" i="1"/>
  <c r="K221" i="1" s="1"/>
  <c r="N221" i="1" s="1"/>
  <c r="AF220" i="1"/>
  <c r="AI220" i="1" s="1"/>
  <c r="AE220" i="1"/>
  <c r="AE219" i="1"/>
  <c r="AC219" i="1"/>
  <c r="AF219" i="1" s="1"/>
  <c r="AI219" i="1" s="1"/>
  <c r="AE218" i="1"/>
  <c r="Z218" i="1"/>
  <c r="AC218" i="1" s="1"/>
  <c r="AF218" i="1" s="1"/>
  <c r="AI218" i="1" s="1"/>
  <c r="Y218" i="1"/>
  <c r="AG217" i="1"/>
  <c r="Z217" i="1"/>
  <c r="AC217" i="1" s="1"/>
  <c r="AF217" i="1" s="1"/>
  <c r="AI217" i="1" s="1"/>
  <c r="R217" i="1"/>
  <c r="U217" i="1" s="1"/>
  <c r="K217" i="1"/>
  <c r="N217" i="1" s="1"/>
  <c r="G217" i="1"/>
  <c r="AE216" i="1"/>
  <c r="AC216" i="1"/>
  <c r="AF216" i="1" s="1"/>
  <c r="AI216" i="1" s="1"/>
  <c r="AE215" i="1"/>
  <c r="Z215" i="1"/>
  <c r="AC215" i="1" s="1"/>
  <c r="AF215" i="1" s="1"/>
  <c r="AI215" i="1" s="1"/>
  <c r="Y215" i="1"/>
  <c r="Y214" i="1"/>
  <c r="Z214" i="1" s="1"/>
  <c r="AC214" i="1" s="1"/>
  <c r="AF214" i="1" s="1"/>
  <c r="AI214" i="1" s="1"/>
  <c r="Z213" i="1"/>
  <c r="AC213" i="1" s="1"/>
  <c r="AF213" i="1" s="1"/>
  <c r="AI213" i="1" s="1"/>
  <c r="R213" i="1"/>
  <c r="U213" i="1" s="1"/>
  <c r="K213" i="1"/>
  <c r="N213" i="1" s="1"/>
  <c r="G213" i="1"/>
  <c r="AE212" i="1"/>
  <c r="AF212" i="1" s="1"/>
  <c r="AI212" i="1" s="1"/>
  <c r="AE211" i="1"/>
  <c r="AC211" i="1"/>
  <c r="AF211" i="1" s="1"/>
  <c r="AI211" i="1" s="1"/>
  <c r="AE210" i="1"/>
  <c r="Y210" i="1"/>
  <c r="Z210" i="1" s="1"/>
  <c r="AC210" i="1" s="1"/>
  <c r="AF210" i="1" s="1"/>
  <c r="AI210" i="1" s="1"/>
  <c r="AG209" i="1"/>
  <c r="AG193" i="1" s="1"/>
  <c r="AC209" i="1"/>
  <c r="AF209" i="1" s="1"/>
  <c r="AI209" i="1" s="1"/>
  <c r="Z209" i="1"/>
  <c r="U209" i="1"/>
  <c r="R209" i="1"/>
  <c r="G209" i="1"/>
  <c r="K209" i="1" s="1"/>
  <c r="N209" i="1" s="1"/>
  <c r="Z208" i="1"/>
  <c r="AC208" i="1" s="1"/>
  <c r="AF208" i="1" s="1"/>
  <c r="AI208" i="1" s="1"/>
  <c r="W208" i="1"/>
  <c r="W207" i="1"/>
  <c r="Z207" i="1" s="1"/>
  <c r="AC207" i="1" s="1"/>
  <c r="AF207" i="1" s="1"/>
  <c r="AI207" i="1" s="1"/>
  <c r="U207" i="1"/>
  <c r="R206" i="1"/>
  <c r="U206" i="1" s="1"/>
  <c r="W206" i="1" s="1"/>
  <c r="Z206" i="1" s="1"/>
  <c r="AC206" i="1" s="1"/>
  <c r="AF206" i="1" s="1"/>
  <c r="AI206" i="1" s="1"/>
  <c r="K206" i="1"/>
  <c r="N206" i="1" s="1"/>
  <c r="G206" i="1"/>
  <c r="AG205" i="1"/>
  <c r="AA205" i="1"/>
  <c r="AA193" i="1" s="1"/>
  <c r="R205" i="1"/>
  <c r="U205" i="1" s="1"/>
  <c r="W205" i="1" s="1"/>
  <c r="Z205" i="1" s="1"/>
  <c r="AC205" i="1" s="1"/>
  <c r="AF205" i="1" s="1"/>
  <c r="AI205" i="1" s="1"/>
  <c r="K205" i="1"/>
  <c r="N205" i="1" s="1"/>
  <c r="G205" i="1"/>
  <c r="AH204" i="1"/>
  <c r="AF204" i="1"/>
  <c r="AI204" i="1" s="1"/>
  <c r="AE204" i="1"/>
  <c r="AE203" i="1"/>
  <c r="AC203" i="1"/>
  <c r="AF203" i="1" s="1"/>
  <c r="AI203" i="1" s="1"/>
  <c r="AE202" i="1"/>
  <c r="AE193" i="1" s="1"/>
  <c r="Z202" i="1"/>
  <c r="AC202" i="1" s="1"/>
  <c r="AF202" i="1" s="1"/>
  <c r="AI202" i="1" s="1"/>
  <c r="Y202" i="1"/>
  <c r="AC201" i="1"/>
  <c r="AF201" i="1" s="1"/>
  <c r="AI201" i="1" s="1"/>
  <c r="AB201" i="1"/>
  <c r="AC200" i="1"/>
  <c r="AF200" i="1" s="1"/>
  <c r="AI200" i="1" s="1"/>
  <c r="AB200" i="1"/>
  <c r="AG199" i="1"/>
  <c r="U199" i="1"/>
  <c r="W199" i="1" s="1"/>
  <c r="R199" i="1"/>
  <c r="G199" i="1"/>
  <c r="K199" i="1" s="1"/>
  <c r="N199" i="1" s="1"/>
  <c r="Z198" i="1"/>
  <c r="AC198" i="1" s="1"/>
  <c r="AF198" i="1" s="1"/>
  <c r="AI198" i="1" s="1"/>
  <c r="W198" i="1"/>
  <c r="U198" i="1"/>
  <c r="R198" i="1"/>
  <c r="G198" i="1"/>
  <c r="K198" i="1" s="1"/>
  <c r="N198" i="1" s="1"/>
  <c r="Z197" i="1"/>
  <c r="AC197" i="1" s="1"/>
  <c r="AF197" i="1" s="1"/>
  <c r="AI197" i="1" s="1"/>
  <c r="W197" i="1"/>
  <c r="U197" i="1"/>
  <c r="R197" i="1"/>
  <c r="G197" i="1"/>
  <c r="K197" i="1" s="1"/>
  <c r="N197" i="1" s="1"/>
  <c r="Z196" i="1"/>
  <c r="AC196" i="1" s="1"/>
  <c r="AF196" i="1" s="1"/>
  <c r="AI196" i="1" s="1"/>
  <c r="R196" i="1"/>
  <c r="U196" i="1" s="1"/>
  <c r="K196" i="1"/>
  <c r="N196" i="1" s="1"/>
  <c r="G196" i="1"/>
  <c r="AH195" i="1"/>
  <c r="AE195" i="1"/>
  <c r="AB195" i="1"/>
  <c r="Z195" i="1"/>
  <c r="AC195" i="1" s="1"/>
  <c r="AF195" i="1" s="1"/>
  <c r="W195" i="1"/>
  <c r="T195" i="1"/>
  <c r="R195" i="1"/>
  <c r="U195" i="1" s="1"/>
  <c r="P195" i="1"/>
  <c r="G195" i="1"/>
  <c r="K195" i="1" s="1"/>
  <c r="AH193" i="1"/>
  <c r="AD193" i="1"/>
  <c r="AB193" i="1"/>
  <c r="X193" i="1"/>
  <c r="V193" i="1"/>
  <c r="T193" i="1"/>
  <c r="S193" i="1"/>
  <c r="R193" i="1"/>
  <c r="Q193" i="1"/>
  <c r="P193" i="1"/>
  <c r="O193" i="1"/>
  <c r="M193" i="1"/>
  <c r="L193" i="1"/>
  <c r="J193" i="1"/>
  <c r="I193" i="1"/>
  <c r="H193" i="1"/>
  <c r="F193" i="1"/>
  <c r="E193" i="1"/>
  <c r="D193" i="1"/>
  <c r="C193" i="1"/>
  <c r="R192" i="1"/>
  <c r="U192" i="1" s="1"/>
  <c r="W192" i="1" s="1"/>
  <c r="E192" i="1"/>
  <c r="G192" i="1" s="1"/>
  <c r="AG191" i="1"/>
  <c r="AB191" i="1"/>
  <c r="Y191" i="1"/>
  <c r="W191" i="1"/>
  <c r="Z191" i="1" s="1"/>
  <c r="AC191" i="1" s="1"/>
  <c r="AF191" i="1" s="1"/>
  <c r="R191" i="1"/>
  <c r="U191" i="1" s="1"/>
  <c r="U189" i="1" s="1"/>
  <c r="P191" i="1"/>
  <c r="G191" i="1"/>
  <c r="K191" i="1" s="1"/>
  <c r="N191" i="1" s="1"/>
  <c r="E191" i="1"/>
  <c r="AH189" i="1"/>
  <c r="AG189" i="1"/>
  <c r="AE189" i="1"/>
  <c r="AD189" i="1"/>
  <c r="AB189" i="1"/>
  <c r="AA189" i="1"/>
  <c r="Y189" i="1"/>
  <c r="X189" i="1"/>
  <c r="V189" i="1"/>
  <c r="T189" i="1"/>
  <c r="S189" i="1"/>
  <c r="Q189" i="1"/>
  <c r="P189" i="1"/>
  <c r="O189" i="1"/>
  <c r="M189" i="1"/>
  <c r="L189" i="1"/>
  <c r="J189" i="1"/>
  <c r="I189" i="1"/>
  <c r="H189" i="1"/>
  <c r="F189" i="1"/>
  <c r="E189" i="1"/>
  <c r="D189" i="1"/>
  <c r="C189" i="1"/>
  <c r="AG188" i="1"/>
  <c r="AE188" i="1"/>
  <c r="AB188" i="1"/>
  <c r="AA188" i="1"/>
  <c r="Y188" i="1"/>
  <c r="W188" i="1"/>
  <c r="Z188" i="1" s="1"/>
  <c r="AC188" i="1" s="1"/>
  <c r="AF188" i="1" s="1"/>
  <c r="AI188" i="1" s="1"/>
  <c r="T188" i="1"/>
  <c r="P188" i="1"/>
  <c r="R188" i="1" s="1"/>
  <c r="F188" i="1"/>
  <c r="G188" i="1" s="1"/>
  <c r="K188" i="1" s="1"/>
  <c r="N188" i="1" s="1"/>
  <c r="Z187" i="1"/>
  <c r="AC187" i="1" s="1"/>
  <c r="AF187" i="1" s="1"/>
  <c r="AI187" i="1" s="1"/>
  <c r="R187" i="1"/>
  <c r="U187" i="1" s="1"/>
  <c r="Z186" i="1"/>
  <c r="AC186" i="1" s="1"/>
  <c r="AF186" i="1" s="1"/>
  <c r="AI186" i="1" s="1"/>
  <c r="R186" i="1"/>
  <c r="U186" i="1" s="1"/>
  <c r="K186" i="1"/>
  <c r="N186" i="1" s="1"/>
  <c r="G186" i="1"/>
  <c r="AC185" i="1"/>
  <c r="AF185" i="1" s="1"/>
  <c r="AI185" i="1" s="1"/>
  <c r="Z185" i="1"/>
  <c r="U185" i="1"/>
  <c r="R185" i="1"/>
  <c r="G185" i="1"/>
  <c r="K185" i="1" s="1"/>
  <c r="N185" i="1" s="1"/>
  <c r="AG184" i="1"/>
  <c r="AG179" i="1" s="1"/>
  <c r="AF184" i="1"/>
  <c r="AI184" i="1" s="1"/>
  <c r="AG183" i="1"/>
  <c r="Z183" i="1"/>
  <c r="AC183" i="1" s="1"/>
  <c r="AF183" i="1" s="1"/>
  <c r="AI183" i="1" s="1"/>
  <c r="R183" i="1"/>
  <c r="U183" i="1" s="1"/>
  <c r="K183" i="1"/>
  <c r="N183" i="1" s="1"/>
  <c r="G183" i="1"/>
  <c r="AE182" i="1"/>
  <c r="AE179" i="1" s="1"/>
  <c r="AB182" i="1"/>
  <c r="AA182" i="1"/>
  <c r="Z182" i="1"/>
  <c r="AC182" i="1" s="1"/>
  <c r="AF182" i="1" s="1"/>
  <c r="AI182" i="1" s="1"/>
  <c r="W182" i="1"/>
  <c r="T182" i="1"/>
  <c r="R182" i="1"/>
  <c r="U182" i="1" s="1"/>
  <c r="P182" i="1"/>
  <c r="G182" i="1"/>
  <c r="K182" i="1" s="1"/>
  <c r="N182" i="1" s="1"/>
  <c r="Z181" i="1"/>
  <c r="AC181" i="1" s="1"/>
  <c r="AF181" i="1" s="1"/>
  <c r="Y181" i="1"/>
  <c r="U181" i="1"/>
  <c r="R181" i="1"/>
  <c r="G181" i="1"/>
  <c r="K181" i="1" s="1"/>
  <c r="AH179" i="1"/>
  <c r="AD179" i="1"/>
  <c r="AB179" i="1"/>
  <c r="AA179" i="1"/>
  <c r="Y179" i="1"/>
  <c r="X179" i="1"/>
  <c r="V179" i="1"/>
  <c r="T179" i="1"/>
  <c r="S179" i="1"/>
  <c r="Q179" i="1"/>
  <c r="P179" i="1"/>
  <c r="O179" i="1"/>
  <c r="M179" i="1"/>
  <c r="L179" i="1"/>
  <c r="J179" i="1"/>
  <c r="I179" i="1"/>
  <c r="H179" i="1"/>
  <c r="F179" i="1"/>
  <c r="E179" i="1"/>
  <c r="D179" i="1"/>
  <c r="C179" i="1"/>
  <c r="AB178" i="1"/>
  <c r="AA178" i="1"/>
  <c r="Y178" i="1"/>
  <c r="W178" i="1"/>
  <c r="Z178" i="1" s="1"/>
  <c r="AC178" i="1" s="1"/>
  <c r="AF178" i="1" s="1"/>
  <c r="AI178" i="1" s="1"/>
  <c r="U178" i="1"/>
  <c r="T178" i="1"/>
  <c r="G178" i="1"/>
  <c r="K178" i="1" s="1"/>
  <c r="N178" i="1" s="1"/>
  <c r="E178" i="1"/>
  <c r="C178" i="1"/>
  <c r="C167" i="1" s="1"/>
  <c r="Z177" i="1"/>
  <c r="AC177" i="1" s="1"/>
  <c r="AF177" i="1" s="1"/>
  <c r="AI177" i="1" s="1"/>
  <c r="U177" i="1"/>
  <c r="AI176" i="1"/>
  <c r="AC176" i="1"/>
  <c r="AF176" i="1" s="1"/>
  <c r="Z176" i="1"/>
  <c r="U176" i="1"/>
  <c r="R176" i="1"/>
  <c r="AC175" i="1"/>
  <c r="AF175" i="1" s="1"/>
  <c r="AI175" i="1" s="1"/>
  <c r="Z175" i="1"/>
  <c r="U175" i="1"/>
  <c r="R175" i="1"/>
  <c r="N175" i="1"/>
  <c r="G175" i="1"/>
  <c r="K175" i="1" s="1"/>
  <c r="AF174" i="1"/>
  <c r="AI174" i="1" s="1"/>
  <c r="AB174" i="1"/>
  <c r="AC174" i="1" s="1"/>
  <c r="AF173" i="1"/>
  <c r="AI173" i="1" s="1"/>
  <c r="Z173" i="1"/>
  <c r="AC173" i="1" s="1"/>
  <c r="W173" i="1"/>
  <c r="AC172" i="1"/>
  <c r="AF172" i="1" s="1"/>
  <c r="AI172" i="1" s="1"/>
  <c r="AA172" i="1"/>
  <c r="AA171" i="1"/>
  <c r="Z171" i="1"/>
  <c r="AC171" i="1" s="1"/>
  <c r="AF171" i="1" s="1"/>
  <c r="AI171" i="1" s="1"/>
  <c r="W171" i="1"/>
  <c r="U171" i="1"/>
  <c r="R171" i="1"/>
  <c r="G171" i="1"/>
  <c r="K171" i="1" s="1"/>
  <c r="N171" i="1" s="1"/>
  <c r="AE170" i="1"/>
  <c r="AB170" i="1"/>
  <c r="AA170" i="1"/>
  <c r="Y170" i="1"/>
  <c r="Y167" i="1" s="1"/>
  <c r="W170" i="1"/>
  <c r="T170" i="1"/>
  <c r="R170" i="1"/>
  <c r="U170" i="1" s="1"/>
  <c r="P170" i="1"/>
  <c r="N170" i="1"/>
  <c r="G170" i="1"/>
  <c r="K170" i="1" s="1"/>
  <c r="U169" i="1"/>
  <c r="R169" i="1"/>
  <c r="G169" i="1"/>
  <c r="AH167" i="1"/>
  <c r="AG167" i="1"/>
  <c r="AE167" i="1"/>
  <c r="AD167" i="1"/>
  <c r="X167" i="1"/>
  <c r="V167" i="1"/>
  <c r="T167" i="1"/>
  <c r="S167" i="1"/>
  <c r="R167" i="1"/>
  <c r="Q167" i="1"/>
  <c r="P167" i="1"/>
  <c r="O167" i="1"/>
  <c r="M167" i="1"/>
  <c r="L167" i="1"/>
  <c r="J167" i="1"/>
  <c r="I167" i="1"/>
  <c r="H167" i="1"/>
  <c r="F167" i="1"/>
  <c r="E167" i="1"/>
  <c r="D167" i="1"/>
  <c r="AG166" i="1"/>
  <c r="AB166" i="1"/>
  <c r="AA166" i="1"/>
  <c r="Y166" i="1"/>
  <c r="W166" i="1"/>
  <c r="Z166" i="1" s="1"/>
  <c r="AC166" i="1" s="1"/>
  <c r="AF166" i="1" s="1"/>
  <c r="AI166" i="1" s="1"/>
  <c r="T166" i="1"/>
  <c r="P166" i="1"/>
  <c r="R166" i="1" s="1"/>
  <c r="U166" i="1" s="1"/>
  <c r="F166" i="1"/>
  <c r="D166" i="1"/>
  <c r="AI165" i="1"/>
  <c r="AC165" i="1"/>
  <c r="AF165" i="1" s="1"/>
  <c r="Z165" i="1"/>
  <c r="AI164" i="1"/>
  <c r="AF164" i="1"/>
  <c r="AC163" i="1"/>
  <c r="AF163" i="1" s="1"/>
  <c r="AI163" i="1" s="1"/>
  <c r="Z163" i="1"/>
  <c r="U163" i="1"/>
  <c r="R163" i="1"/>
  <c r="AI162" i="1"/>
  <c r="AC162" i="1"/>
  <c r="AF162" i="1" s="1"/>
  <c r="Z162" i="1"/>
  <c r="AC161" i="1"/>
  <c r="AF161" i="1" s="1"/>
  <c r="AI161" i="1" s="1"/>
  <c r="W161" i="1"/>
  <c r="Z161" i="1" s="1"/>
  <c r="AF160" i="1"/>
  <c r="AI160" i="1" s="1"/>
  <c r="Z159" i="1"/>
  <c r="AC159" i="1" s="1"/>
  <c r="AF159" i="1" s="1"/>
  <c r="AI159" i="1" s="1"/>
  <c r="Z158" i="1"/>
  <c r="AC158" i="1" s="1"/>
  <c r="AF158" i="1" s="1"/>
  <c r="AI158" i="1" s="1"/>
  <c r="R158" i="1"/>
  <c r="U158" i="1" s="1"/>
  <c r="K158" i="1"/>
  <c r="N158" i="1" s="1"/>
  <c r="G158" i="1"/>
  <c r="AI157" i="1"/>
  <c r="AC157" i="1"/>
  <c r="AF157" i="1" s="1"/>
  <c r="Z157" i="1"/>
  <c r="AC156" i="1"/>
  <c r="AF156" i="1" s="1"/>
  <c r="AI156" i="1" s="1"/>
  <c r="W156" i="1"/>
  <c r="Z156" i="1" s="1"/>
  <c r="AG155" i="1"/>
  <c r="AI155" i="1" s="1"/>
  <c r="AG154" i="1"/>
  <c r="R154" i="1"/>
  <c r="U154" i="1" s="1"/>
  <c r="W154" i="1" s="1"/>
  <c r="Z154" i="1" s="1"/>
  <c r="AC154" i="1" s="1"/>
  <c r="AF154" i="1" s="1"/>
  <c r="AI154" i="1" s="1"/>
  <c r="K154" i="1"/>
  <c r="N154" i="1" s="1"/>
  <c r="G154" i="1"/>
  <c r="R153" i="1"/>
  <c r="U153" i="1" s="1"/>
  <c r="W153" i="1" s="1"/>
  <c r="Z153" i="1" s="1"/>
  <c r="AC153" i="1" s="1"/>
  <c r="AF153" i="1" s="1"/>
  <c r="AI153" i="1" s="1"/>
  <c r="K153" i="1"/>
  <c r="N153" i="1" s="1"/>
  <c r="G153" i="1"/>
  <c r="AC152" i="1"/>
  <c r="AF152" i="1" s="1"/>
  <c r="AI152" i="1" s="1"/>
  <c r="Z152" i="1"/>
  <c r="U152" i="1"/>
  <c r="R152" i="1"/>
  <c r="N152" i="1"/>
  <c r="G152" i="1"/>
  <c r="K152" i="1" s="1"/>
  <c r="AF151" i="1"/>
  <c r="AI151" i="1" s="1"/>
  <c r="Z151" i="1"/>
  <c r="AC151" i="1" s="1"/>
  <c r="R151" i="1"/>
  <c r="U151" i="1" s="1"/>
  <c r="K151" i="1"/>
  <c r="N151" i="1" s="1"/>
  <c r="G151" i="1"/>
  <c r="AC150" i="1"/>
  <c r="AF150" i="1" s="1"/>
  <c r="AI150" i="1" s="1"/>
  <c r="Z150" i="1"/>
  <c r="U150" i="1"/>
  <c r="R150" i="1"/>
  <c r="N150" i="1"/>
  <c r="G150" i="1"/>
  <c r="K150" i="1" s="1"/>
  <c r="AF149" i="1"/>
  <c r="AI149" i="1" s="1"/>
  <c r="Z149" i="1"/>
  <c r="AC149" i="1" s="1"/>
  <c r="R149" i="1"/>
  <c r="U149" i="1" s="1"/>
  <c r="K149" i="1"/>
  <c r="N149" i="1" s="1"/>
  <c r="G149" i="1"/>
  <c r="AC148" i="1"/>
  <c r="AF148" i="1" s="1"/>
  <c r="AI148" i="1" s="1"/>
  <c r="Z148" i="1"/>
  <c r="U148" i="1"/>
  <c r="R148" i="1"/>
  <c r="N148" i="1"/>
  <c r="G148" i="1"/>
  <c r="K148" i="1" s="1"/>
  <c r="AF147" i="1"/>
  <c r="AI147" i="1" s="1"/>
  <c r="Z147" i="1"/>
  <c r="AC147" i="1" s="1"/>
  <c r="W147" i="1"/>
  <c r="U147" i="1"/>
  <c r="R147" i="1"/>
  <c r="AC146" i="1"/>
  <c r="AF146" i="1" s="1"/>
  <c r="AI146" i="1" s="1"/>
  <c r="Z146" i="1"/>
  <c r="W145" i="1"/>
  <c r="Z145" i="1" s="1"/>
  <c r="AC145" i="1" s="1"/>
  <c r="AF145" i="1" s="1"/>
  <c r="AI145" i="1" s="1"/>
  <c r="R145" i="1"/>
  <c r="U145" i="1" s="1"/>
  <c r="AF144" i="1"/>
  <c r="AI144" i="1" s="1"/>
  <c r="Z144" i="1"/>
  <c r="AC144" i="1" s="1"/>
  <c r="R144" i="1"/>
  <c r="U144" i="1" s="1"/>
  <c r="Z143" i="1"/>
  <c r="AC143" i="1" s="1"/>
  <c r="AF143" i="1" s="1"/>
  <c r="AI143" i="1" s="1"/>
  <c r="AF142" i="1"/>
  <c r="AI142" i="1" s="1"/>
  <c r="AF141" i="1"/>
  <c r="AI141" i="1" s="1"/>
  <c r="Z141" i="1"/>
  <c r="AC141" i="1" s="1"/>
  <c r="R141" i="1"/>
  <c r="U141" i="1" s="1"/>
  <c r="Z140" i="1"/>
  <c r="AC140" i="1" s="1"/>
  <c r="AF140" i="1" s="1"/>
  <c r="AI140" i="1" s="1"/>
  <c r="R140" i="1"/>
  <c r="U140" i="1" s="1"/>
  <c r="AF139" i="1"/>
  <c r="AI139" i="1" s="1"/>
  <c r="Z139" i="1"/>
  <c r="AC139" i="1" s="1"/>
  <c r="R139" i="1"/>
  <c r="U139" i="1" s="1"/>
  <c r="Z138" i="1"/>
  <c r="AC138" i="1" s="1"/>
  <c r="AF138" i="1" s="1"/>
  <c r="AI138" i="1" s="1"/>
  <c r="U138" i="1"/>
  <c r="W138" i="1" s="1"/>
  <c r="R138" i="1"/>
  <c r="R137" i="1"/>
  <c r="U137" i="1" s="1"/>
  <c r="W137" i="1" s="1"/>
  <c r="Z137" i="1" s="1"/>
  <c r="AC137" i="1" s="1"/>
  <c r="AF137" i="1" s="1"/>
  <c r="AI137" i="1" s="1"/>
  <c r="Z136" i="1"/>
  <c r="AC136" i="1" s="1"/>
  <c r="AF136" i="1" s="1"/>
  <c r="AI136" i="1" s="1"/>
  <c r="R136" i="1"/>
  <c r="U136" i="1" s="1"/>
  <c r="AF135" i="1"/>
  <c r="AI135" i="1" s="1"/>
  <c r="Z135" i="1"/>
  <c r="AC135" i="1" s="1"/>
  <c r="R135" i="1"/>
  <c r="U135" i="1" s="1"/>
  <c r="Z134" i="1"/>
  <c r="AC134" i="1" s="1"/>
  <c r="AF134" i="1" s="1"/>
  <c r="AI134" i="1" s="1"/>
  <c r="R134" i="1"/>
  <c r="U134" i="1" s="1"/>
  <c r="AF133" i="1"/>
  <c r="AI133" i="1" s="1"/>
  <c r="Z133" i="1"/>
  <c r="AC133" i="1" s="1"/>
  <c r="R133" i="1"/>
  <c r="U133" i="1" s="1"/>
  <c r="Z132" i="1"/>
  <c r="AC132" i="1" s="1"/>
  <c r="AF132" i="1" s="1"/>
  <c r="AI132" i="1" s="1"/>
  <c r="R132" i="1"/>
  <c r="U132" i="1" s="1"/>
  <c r="AF131" i="1"/>
  <c r="AI131" i="1" s="1"/>
  <c r="Z131" i="1"/>
  <c r="AC131" i="1" s="1"/>
  <c r="R131" i="1"/>
  <c r="U131" i="1" s="1"/>
  <c r="Z130" i="1"/>
  <c r="AC130" i="1" s="1"/>
  <c r="AF130" i="1" s="1"/>
  <c r="AI130" i="1" s="1"/>
  <c r="R130" i="1"/>
  <c r="U130" i="1" s="1"/>
  <c r="AF129" i="1"/>
  <c r="AI129" i="1" s="1"/>
  <c r="Z129" i="1"/>
  <c r="AC129" i="1" s="1"/>
  <c r="R129" i="1"/>
  <c r="U129" i="1" s="1"/>
  <c r="Z128" i="1"/>
  <c r="AC128" i="1" s="1"/>
  <c r="AF128" i="1" s="1"/>
  <c r="AI128" i="1" s="1"/>
  <c r="R128" i="1"/>
  <c r="U128" i="1" s="1"/>
  <c r="AF127" i="1"/>
  <c r="AI127" i="1" s="1"/>
  <c r="Z127" i="1"/>
  <c r="AC127" i="1" s="1"/>
  <c r="R127" i="1"/>
  <c r="U127" i="1" s="1"/>
  <c r="Z126" i="1"/>
  <c r="AC126" i="1" s="1"/>
  <c r="AF126" i="1" s="1"/>
  <c r="AI126" i="1" s="1"/>
  <c r="Z125" i="1"/>
  <c r="AC125" i="1" s="1"/>
  <c r="AF125" i="1" s="1"/>
  <c r="AI125" i="1" s="1"/>
  <c r="R125" i="1"/>
  <c r="U125" i="1" s="1"/>
  <c r="K125" i="1"/>
  <c r="N125" i="1" s="1"/>
  <c r="G125" i="1"/>
  <c r="AI124" i="1"/>
  <c r="AC124" i="1"/>
  <c r="AF124" i="1" s="1"/>
  <c r="AA124" i="1"/>
  <c r="AC123" i="1"/>
  <c r="AF123" i="1" s="1"/>
  <c r="AI123" i="1" s="1"/>
  <c r="Z123" i="1"/>
  <c r="W122" i="1"/>
  <c r="Z122" i="1" s="1"/>
  <c r="AC122" i="1" s="1"/>
  <c r="AF122" i="1" s="1"/>
  <c r="AI122" i="1" s="1"/>
  <c r="R122" i="1"/>
  <c r="U122" i="1" s="1"/>
  <c r="K122" i="1"/>
  <c r="N122" i="1" s="1"/>
  <c r="G122" i="1"/>
  <c r="AI121" i="1"/>
  <c r="AC121" i="1"/>
  <c r="AF121" i="1" s="1"/>
  <c r="AB121" i="1"/>
  <c r="AC120" i="1"/>
  <c r="AF120" i="1" s="1"/>
  <c r="AI120" i="1" s="1"/>
  <c r="Y120" i="1"/>
  <c r="Z120" i="1" s="1"/>
  <c r="AF119" i="1"/>
  <c r="AI119" i="1" s="1"/>
  <c r="Z119" i="1"/>
  <c r="AC119" i="1" s="1"/>
  <c r="W119" i="1"/>
  <c r="U119" i="1"/>
  <c r="R119" i="1"/>
  <c r="G119" i="1"/>
  <c r="K119" i="1" s="1"/>
  <c r="N119" i="1" s="1"/>
  <c r="AB118" i="1"/>
  <c r="AC118" i="1" s="1"/>
  <c r="AF118" i="1" s="1"/>
  <c r="AI118" i="1" s="1"/>
  <c r="AB117" i="1"/>
  <c r="Y117" i="1"/>
  <c r="Z117" i="1" s="1"/>
  <c r="AG116" i="1"/>
  <c r="AA116" i="1"/>
  <c r="Z116" i="1"/>
  <c r="AC116" i="1" s="1"/>
  <c r="AF116" i="1" s="1"/>
  <c r="AI116" i="1" s="1"/>
  <c r="W116" i="1"/>
  <c r="U116" i="1"/>
  <c r="R116" i="1"/>
  <c r="G116" i="1"/>
  <c r="K116" i="1" s="1"/>
  <c r="N116" i="1" s="1"/>
  <c r="AG115" i="1"/>
  <c r="W115" i="1"/>
  <c r="Z115" i="1" s="1"/>
  <c r="AC115" i="1" s="1"/>
  <c r="AF115" i="1" s="1"/>
  <c r="AI115" i="1" s="1"/>
  <c r="R115" i="1"/>
  <c r="U115" i="1" s="1"/>
  <c r="K115" i="1"/>
  <c r="N115" i="1" s="1"/>
  <c r="G115" i="1"/>
  <c r="AI114" i="1"/>
  <c r="AH114" i="1"/>
  <c r="AE113" i="1"/>
  <c r="AF113" i="1" s="1"/>
  <c r="AI113" i="1" s="1"/>
  <c r="AG112" i="1"/>
  <c r="W112" i="1"/>
  <c r="Z112" i="1" s="1"/>
  <c r="AC112" i="1" s="1"/>
  <c r="AF112" i="1" s="1"/>
  <c r="AI112" i="1" s="1"/>
  <c r="R112" i="1"/>
  <c r="U112" i="1" s="1"/>
  <c r="K112" i="1"/>
  <c r="N112" i="1" s="1"/>
  <c r="G112" i="1"/>
  <c r="AI111" i="1"/>
  <c r="AF111" i="1"/>
  <c r="AG110" i="1"/>
  <c r="Z110" i="1"/>
  <c r="AC110" i="1" s="1"/>
  <c r="AF110" i="1" s="1"/>
  <c r="AI110" i="1" s="1"/>
  <c r="W110" i="1"/>
  <c r="U110" i="1"/>
  <c r="R110" i="1"/>
  <c r="G110" i="1"/>
  <c r="K110" i="1" s="1"/>
  <c r="N110" i="1" s="1"/>
  <c r="AF109" i="1"/>
  <c r="AI109" i="1" s="1"/>
  <c r="AG108" i="1"/>
  <c r="W108" i="1"/>
  <c r="Z108" i="1" s="1"/>
  <c r="AC108" i="1" s="1"/>
  <c r="AF108" i="1" s="1"/>
  <c r="AI108" i="1" s="1"/>
  <c r="R108" i="1"/>
  <c r="U108" i="1" s="1"/>
  <c r="K108" i="1"/>
  <c r="N108" i="1" s="1"/>
  <c r="G108" i="1"/>
  <c r="AE107" i="1"/>
  <c r="AF107" i="1" s="1"/>
  <c r="AI107" i="1" s="1"/>
  <c r="AG106" i="1"/>
  <c r="W106" i="1"/>
  <c r="Z106" i="1" s="1"/>
  <c r="AC106" i="1" s="1"/>
  <c r="AF106" i="1" s="1"/>
  <c r="AI106" i="1" s="1"/>
  <c r="R106" i="1"/>
  <c r="U106" i="1" s="1"/>
  <c r="K106" i="1"/>
  <c r="N106" i="1" s="1"/>
  <c r="G106" i="1"/>
  <c r="AG105" i="1"/>
  <c r="Z105" i="1"/>
  <c r="AC105" i="1" s="1"/>
  <c r="AF105" i="1" s="1"/>
  <c r="AI105" i="1" s="1"/>
  <c r="W105" i="1"/>
  <c r="U105" i="1"/>
  <c r="R105" i="1"/>
  <c r="G105" i="1"/>
  <c r="K105" i="1" s="1"/>
  <c r="N105" i="1" s="1"/>
  <c r="AG104" i="1"/>
  <c r="W104" i="1"/>
  <c r="Z104" i="1" s="1"/>
  <c r="AC104" i="1" s="1"/>
  <c r="AF104" i="1" s="1"/>
  <c r="AI104" i="1" s="1"/>
  <c r="R104" i="1"/>
  <c r="U104" i="1" s="1"/>
  <c r="K104" i="1"/>
  <c r="N104" i="1" s="1"/>
  <c r="G104" i="1"/>
  <c r="AE103" i="1"/>
  <c r="AF103" i="1" s="1"/>
  <c r="AI103" i="1" s="1"/>
  <c r="AF102" i="1"/>
  <c r="AI102" i="1" s="1"/>
  <c r="AE102" i="1"/>
  <c r="W101" i="1"/>
  <c r="Z101" i="1" s="1"/>
  <c r="AC101" i="1" s="1"/>
  <c r="AF101" i="1" s="1"/>
  <c r="AI101" i="1" s="1"/>
  <c r="R101" i="1"/>
  <c r="U101" i="1" s="1"/>
  <c r="K101" i="1"/>
  <c r="N101" i="1" s="1"/>
  <c r="G101" i="1"/>
  <c r="AG100" i="1"/>
  <c r="Z100" i="1"/>
  <c r="AC100" i="1" s="1"/>
  <c r="AF100" i="1" s="1"/>
  <c r="AI100" i="1" s="1"/>
  <c r="W100" i="1"/>
  <c r="U100" i="1"/>
  <c r="R100" i="1"/>
  <c r="G100" i="1"/>
  <c r="K100" i="1" s="1"/>
  <c r="N100" i="1" s="1"/>
  <c r="Z99" i="1"/>
  <c r="AC99" i="1" s="1"/>
  <c r="AF99" i="1" s="1"/>
  <c r="AI99" i="1" s="1"/>
  <c r="W99" i="1"/>
  <c r="U99" i="1"/>
  <c r="R99" i="1"/>
  <c r="G99" i="1"/>
  <c r="K99" i="1" s="1"/>
  <c r="N99" i="1" s="1"/>
  <c r="AF98" i="1"/>
  <c r="AI98" i="1" s="1"/>
  <c r="AE98" i="1"/>
  <c r="AG97" i="1"/>
  <c r="Z97" i="1"/>
  <c r="AC97" i="1" s="1"/>
  <c r="AF97" i="1" s="1"/>
  <c r="AI97" i="1" s="1"/>
  <c r="W97" i="1"/>
  <c r="U97" i="1"/>
  <c r="R97" i="1"/>
  <c r="G97" i="1"/>
  <c r="K97" i="1" s="1"/>
  <c r="N97" i="1" s="1"/>
  <c r="AG96" i="1"/>
  <c r="W96" i="1"/>
  <c r="Z96" i="1" s="1"/>
  <c r="AC96" i="1" s="1"/>
  <c r="AF96" i="1" s="1"/>
  <c r="AI96" i="1" s="1"/>
  <c r="R96" i="1"/>
  <c r="U96" i="1" s="1"/>
  <c r="K96" i="1"/>
  <c r="N96" i="1" s="1"/>
  <c r="G96" i="1"/>
  <c r="AE95" i="1"/>
  <c r="AF95" i="1" s="1"/>
  <c r="AI95" i="1" s="1"/>
  <c r="AA94" i="1"/>
  <c r="W94" i="1"/>
  <c r="Z94" i="1" s="1"/>
  <c r="AC94" i="1" s="1"/>
  <c r="AF94" i="1" s="1"/>
  <c r="AI94" i="1" s="1"/>
  <c r="R94" i="1"/>
  <c r="U94" i="1" s="1"/>
  <c r="K94" i="1"/>
  <c r="N94" i="1" s="1"/>
  <c r="G94" i="1"/>
  <c r="AC93" i="1"/>
  <c r="AF93" i="1" s="1"/>
  <c r="AI93" i="1" s="1"/>
  <c r="Z93" i="1"/>
  <c r="U93" i="1"/>
  <c r="R93" i="1"/>
  <c r="G93" i="1"/>
  <c r="K93" i="1" s="1"/>
  <c r="N93" i="1" s="1"/>
  <c r="AF92" i="1"/>
  <c r="AI92" i="1" s="1"/>
  <c r="AC92" i="1"/>
  <c r="W91" i="1"/>
  <c r="Z91" i="1" s="1"/>
  <c r="AC91" i="1" s="1"/>
  <c r="AF91" i="1" s="1"/>
  <c r="AI91" i="1" s="1"/>
  <c r="R91" i="1"/>
  <c r="U91" i="1" s="1"/>
  <c r="K91" i="1"/>
  <c r="N91" i="1" s="1"/>
  <c r="G91" i="1"/>
  <c r="AG90" i="1"/>
  <c r="U90" i="1"/>
  <c r="W90" i="1" s="1"/>
  <c r="Z90" i="1" s="1"/>
  <c r="AC90" i="1" s="1"/>
  <c r="AF90" i="1" s="1"/>
  <c r="AI90" i="1" s="1"/>
  <c r="R90" i="1"/>
  <c r="G90" i="1"/>
  <c r="K90" i="1" s="1"/>
  <c r="N90" i="1" s="1"/>
  <c r="U89" i="1"/>
  <c r="W89" i="1" s="1"/>
  <c r="R89" i="1"/>
  <c r="G89" i="1"/>
  <c r="K89" i="1" s="1"/>
  <c r="N89" i="1" s="1"/>
  <c r="Z88" i="1"/>
  <c r="AC88" i="1" s="1"/>
  <c r="AF88" i="1" s="1"/>
  <c r="AI88" i="1" s="1"/>
  <c r="W88" i="1"/>
  <c r="U88" i="1"/>
  <c r="R88" i="1"/>
  <c r="G88" i="1"/>
  <c r="K88" i="1" s="1"/>
  <c r="N88" i="1" s="1"/>
  <c r="Z87" i="1"/>
  <c r="AC87" i="1" s="1"/>
  <c r="AF87" i="1" s="1"/>
  <c r="AI87" i="1" s="1"/>
  <c r="R87" i="1"/>
  <c r="U87" i="1" s="1"/>
  <c r="K87" i="1"/>
  <c r="N87" i="1" s="1"/>
  <c r="G87" i="1"/>
  <c r="AE86" i="1"/>
  <c r="AF86" i="1" s="1"/>
  <c r="AI86" i="1" s="1"/>
  <c r="AF85" i="1"/>
  <c r="AI85" i="1" s="1"/>
  <c r="AC85" i="1"/>
  <c r="W84" i="1"/>
  <c r="Z84" i="1" s="1"/>
  <c r="AC84" i="1" s="1"/>
  <c r="AF84" i="1" s="1"/>
  <c r="AI84" i="1" s="1"/>
  <c r="R84" i="1"/>
  <c r="U84" i="1" s="1"/>
  <c r="K84" i="1"/>
  <c r="N84" i="1" s="1"/>
  <c r="G84" i="1"/>
  <c r="AE83" i="1"/>
  <c r="AF83" i="1" s="1"/>
  <c r="AI83" i="1" s="1"/>
  <c r="AB82" i="1"/>
  <c r="AC82" i="1" s="1"/>
  <c r="AF82" i="1" s="1"/>
  <c r="AI82" i="1" s="1"/>
  <c r="Z81" i="1"/>
  <c r="AC81" i="1" s="1"/>
  <c r="AF81" i="1" s="1"/>
  <c r="AI81" i="1" s="1"/>
  <c r="W81" i="1"/>
  <c r="U81" i="1"/>
  <c r="R81" i="1"/>
  <c r="G81" i="1"/>
  <c r="K81" i="1" s="1"/>
  <c r="N81" i="1" s="1"/>
  <c r="Z80" i="1"/>
  <c r="AC80" i="1" s="1"/>
  <c r="AF80" i="1" s="1"/>
  <c r="AI80" i="1" s="1"/>
  <c r="R80" i="1"/>
  <c r="U80" i="1" s="1"/>
  <c r="K80" i="1"/>
  <c r="N80" i="1" s="1"/>
  <c r="G80" i="1"/>
  <c r="AE79" i="1"/>
  <c r="AF79" i="1" s="1"/>
  <c r="AI79" i="1" s="1"/>
  <c r="AF78" i="1"/>
  <c r="AI78" i="1" s="1"/>
  <c r="AC78" i="1"/>
  <c r="AA77" i="1"/>
  <c r="Z77" i="1"/>
  <c r="AC77" i="1" s="1"/>
  <c r="AF77" i="1" s="1"/>
  <c r="AI77" i="1" s="1"/>
  <c r="W77" i="1"/>
  <c r="U77" i="1"/>
  <c r="R77" i="1"/>
  <c r="G77" i="1"/>
  <c r="K77" i="1" s="1"/>
  <c r="N77" i="1" s="1"/>
  <c r="AF76" i="1"/>
  <c r="AI76" i="1" s="1"/>
  <c r="AE76" i="1"/>
  <c r="AE75" i="1"/>
  <c r="AF75" i="1" s="1"/>
  <c r="AI75" i="1" s="1"/>
  <c r="Z74" i="1"/>
  <c r="AC74" i="1" s="1"/>
  <c r="AF74" i="1" s="1"/>
  <c r="AI74" i="1" s="1"/>
  <c r="W74" i="1"/>
  <c r="U74" i="1"/>
  <c r="R74" i="1"/>
  <c r="G74" i="1"/>
  <c r="K74" i="1" s="1"/>
  <c r="N74" i="1" s="1"/>
  <c r="Z73" i="1"/>
  <c r="AC73" i="1" s="1"/>
  <c r="AF73" i="1" s="1"/>
  <c r="AI73" i="1" s="1"/>
  <c r="W73" i="1"/>
  <c r="U73" i="1"/>
  <c r="R73" i="1"/>
  <c r="G73" i="1"/>
  <c r="K73" i="1" s="1"/>
  <c r="N73" i="1" s="1"/>
  <c r="Z72" i="1"/>
  <c r="AC72" i="1" s="1"/>
  <c r="AF72" i="1" s="1"/>
  <c r="AI72" i="1" s="1"/>
  <c r="R72" i="1"/>
  <c r="U72" i="1" s="1"/>
  <c r="K72" i="1"/>
  <c r="N72" i="1" s="1"/>
  <c r="G72" i="1"/>
  <c r="AC71" i="1"/>
  <c r="AF71" i="1" s="1"/>
  <c r="AI71" i="1" s="1"/>
  <c r="Z71" i="1"/>
  <c r="U71" i="1"/>
  <c r="R71" i="1"/>
  <c r="G71" i="1"/>
  <c r="K71" i="1" s="1"/>
  <c r="N71" i="1" s="1"/>
  <c r="Z70" i="1"/>
  <c r="AC70" i="1" s="1"/>
  <c r="AF70" i="1" s="1"/>
  <c r="AI70" i="1" s="1"/>
  <c r="R70" i="1"/>
  <c r="U70" i="1" s="1"/>
  <c r="K70" i="1"/>
  <c r="N70" i="1" s="1"/>
  <c r="G70" i="1"/>
  <c r="AC69" i="1"/>
  <c r="AF69" i="1" s="1"/>
  <c r="AI69" i="1" s="1"/>
  <c r="Z69" i="1"/>
  <c r="U69" i="1"/>
  <c r="R69" i="1"/>
  <c r="G69" i="1"/>
  <c r="K69" i="1" s="1"/>
  <c r="N69" i="1" s="1"/>
  <c r="AG68" i="1"/>
  <c r="AE68" i="1"/>
  <c r="AB68" i="1"/>
  <c r="AA68" i="1"/>
  <c r="Z68" i="1"/>
  <c r="AC68" i="1" s="1"/>
  <c r="AF68" i="1" s="1"/>
  <c r="AI68" i="1" s="1"/>
  <c r="W68" i="1"/>
  <c r="T68" i="1"/>
  <c r="R68" i="1"/>
  <c r="U68" i="1" s="1"/>
  <c r="P68" i="1"/>
  <c r="G68" i="1"/>
  <c r="K68" i="1" s="1"/>
  <c r="AB67" i="1"/>
  <c r="AB65" i="1" s="1"/>
  <c r="Z67" i="1"/>
  <c r="R67" i="1"/>
  <c r="U67" i="1" s="1"/>
  <c r="K67" i="1"/>
  <c r="N67" i="1" s="1"/>
  <c r="G67" i="1"/>
  <c r="AH65" i="1"/>
  <c r="AG65" i="1"/>
  <c r="AE65" i="1"/>
  <c r="AD65" i="1"/>
  <c r="Y65" i="1"/>
  <c r="X65" i="1"/>
  <c r="V65" i="1"/>
  <c r="T65" i="1"/>
  <c r="S65" i="1"/>
  <c r="Q65" i="1"/>
  <c r="P65" i="1"/>
  <c r="O65" i="1"/>
  <c r="M65" i="1"/>
  <c r="L65" i="1"/>
  <c r="J65" i="1"/>
  <c r="I65" i="1"/>
  <c r="H65" i="1"/>
  <c r="F65" i="1"/>
  <c r="E65" i="1"/>
  <c r="D65" i="1"/>
  <c r="C65" i="1"/>
  <c r="AA64" i="1"/>
  <c r="AA60" i="1" s="1"/>
  <c r="W64" i="1"/>
  <c r="Z64" i="1" s="1"/>
  <c r="AC64" i="1" s="1"/>
  <c r="AF64" i="1" s="1"/>
  <c r="AI64" i="1" s="1"/>
  <c r="R64" i="1"/>
  <c r="U64" i="1" s="1"/>
  <c r="K64" i="1"/>
  <c r="N64" i="1" s="1"/>
  <c r="G64" i="1"/>
  <c r="W63" i="1"/>
  <c r="Z63" i="1" s="1"/>
  <c r="R63" i="1"/>
  <c r="U63" i="1" s="1"/>
  <c r="K63" i="1"/>
  <c r="N63" i="1" s="1"/>
  <c r="G63" i="1"/>
  <c r="AC62" i="1"/>
  <c r="AF62" i="1" s="1"/>
  <c r="Z62" i="1"/>
  <c r="U62" i="1"/>
  <c r="U60" i="1" s="1"/>
  <c r="R62" i="1"/>
  <c r="G62" i="1"/>
  <c r="K62" i="1" s="1"/>
  <c r="AH60" i="1"/>
  <c r="AG60" i="1"/>
  <c r="AE60" i="1"/>
  <c r="AD60" i="1"/>
  <c r="AB60" i="1"/>
  <c r="Y60" i="1"/>
  <c r="X60" i="1"/>
  <c r="V60" i="1"/>
  <c r="T60" i="1"/>
  <c r="S60" i="1"/>
  <c r="R60" i="1"/>
  <c r="Q60" i="1"/>
  <c r="P60" i="1"/>
  <c r="O60" i="1"/>
  <c r="M60" i="1"/>
  <c r="L60" i="1"/>
  <c r="J60" i="1"/>
  <c r="I60" i="1"/>
  <c r="H60" i="1"/>
  <c r="F60" i="1"/>
  <c r="E60" i="1"/>
  <c r="D60" i="1"/>
  <c r="C60" i="1"/>
  <c r="AE59" i="1"/>
  <c r="AB59" i="1"/>
  <c r="AA59" i="1"/>
  <c r="Y59" i="1"/>
  <c r="W59" i="1"/>
  <c r="Z59" i="1" s="1"/>
  <c r="AC59" i="1" s="1"/>
  <c r="AF59" i="1" s="1"/>
  <c r="AI59" i="1" s="1"/>
  <c r="T59" i="1"/>
  <c r="P59" i="1"/>
  <c r="R59" i="1" s="1"/>
  <c r="U59" i="1" s="1"/>
  <c r="F59" i="1"/>
  <c r="F53" i="1" s="1"/>
  <c r="E59" i="1"/>
  <c r="G59" i="1" s="1"/>
  <c r="AG58" i="1"/>
  <c r="AE58" i="1"/>
  <c r="AD58" i="1"/>
  <c r="AD53" i="1" s="1"/>
  <c r="AB58" i="1"/>
  <c r="AB53" i="1" s="1"/>
  <c r="AA58" i="1"/>
  <c r="Y58" i="1"/>
  <c r="W58" i="1"/>
  <c r="Z58" i="1" s="1"/>
  <c r="AC58" i="1" s="1"/>
  <c r="AF58" i="1" s="1"/>
  <c r="AI58" i="1" s="1"/>
  <c r="T58" i="1"/>
  <c r="T53" i="1" s="1"/>
  <c r="P58" i="1"/>
  <c r="R58" i="1" s="1"/>
  <c r="U58" i="1" s="1"/>
  <c r="L58" i="1"/>
  <c r="L53" i="1" s="1"/>
  <c r="G58" i="1"/>
  <c r="K58" i="1" s="1"/>
  <c r="N58" i="1" s="1"/>
  <c r="E58" i="1"/>
  <c r="Z57" i="1"/>
  <c r="R57" i="1"/>
  <c r="U57" i="1" s="1"/>
  <c r="K57" i="1"/>
  <c r="N57" i="1" s="1"/>
  <c r="G57" i="1"/>
  <c r="AA56" i="1"/>
  <c r="Z56" i="1"/>
  <c r="AC56" i="1" s="1"/>
  <c r="AF56" i="1" s="1"/>
  <c r="AI56" i="1" s="1"/>
  <c r="R56" i="1"/>
  <c r="U56" i="1" s="1"/>
  <c r="K56" i="1"/>
  <c r="N56" i="1" s="1"/>
  <c r="G56" i="1"/>
  <c r="AB55" i="1"/>
  <c r="AA55" i="1"/>
  <c r="AC55" i="1" s="1"/>
  <c r="AF55" i="1" s="1"/>
  <c r="Z55" i="1"/>
  <c r="U55" i="1"/>
  <c r="T55" i="1"/>
  <c r="AH53" i="1"/>
  <c r="AG53" i="1"/>
  <c r="AE53" i="1"/>
  <c r="Y53" i="1"/>
  <c r="X53" i="1"/>
  <c r="W53" i="1"/>
  <c r="V53" i="1"/>
  <c r="Z53" i="1" s="1"/>
  <c r="S53" i="1"/>
  <c r="Q53" i="1"/>
  <c r="O53" i="1"/>
  <c r="M53" i="1"/>
  <c r="J53" i="1"/>
  <c r="I53" i="1"/>
  <c r="H53" i="1"/>
  <c r="E53" i="1"/>
  <c r="D53" i="1"/>
  <c r="C53" i="1"/>
  <c r="AA52" i="1"/>
  <c r="W52" i="1"/>
  <c r="Z52" i="1" s="1"/>
  <c r="AC52" i="1" s="1"/>
  <c r="AF52" i="1" s="1"/>
  <c r="AI52" i="1" s="1"/>
  <c r="R52" i="1"/>
  <c r="U52" i="1" s="1"/>
  <c r="E52" i="1"/>
  <c r="G52" i="1" s="1"/>
  <c r="K52" i="1" s="1"/>
  <c r="N52" i="1" s="1"/>
  <c r="AG51" i="1"/>
  <c r="AG45" i="1" s="1"/>
  <c r="AD51" i="1"/>
  <c r="AA51" i="1"/>
  <c r="AC51" i="1" s="1"/>
  <c r="AF51" i="1" s="1"/>
  <c r="AI51" i="1" s="1"/>
  <c r="Z50" i="1"/>
  <c r="AC50" i="1" s="1"/>
  <c r="AF50" i="1" s="1"/>
  <c r="AI50" i="1" s="1"/>
  <c r="R50" i="1"/>
  <c r="U50" i="1" s="1"/>
  <c r="K50" i="1"/>
  <c r="N50" i="1" s="1"/>
  <c r="G50" i="1"/>
  <c r="AG49" i="1"/>
  <c r="Y49" i="1"/>
  <c r="W49" i="1"/>
  <c r="Z49" i="1" s="1"/>
  <c r="T49" i="1"/>
  <c r="R49" i="1"/>
  <c r="U49" i="1" s="1"/>
  <c r="M49" i="1"/>
  <c r="H49" i="1"/>
  <c r="G49" i="1"/>
  <c r="K49" i="1" s="1"/>
  <c r="N49" i="1" s="1"/>
  <c r="Z48" i="1"/>
  <c r="AC48" i="1" s="1"/>
  <c r="AF48" i="1" s="1"/>
  <c r="AI48" i="1" s="1"/>
  <c r="W48" i="1"/>
  <c r="AG47" i="1"/>
  <c r="Z47" i="1"/>
  <c r="AC47" i="1" s="1"/>
  <c r="AF47" i="1" s="1"/>
  <c r="W47" i="1"/>
  <c r="U47" i="1"/>
  <c r="U45" i="1" s="1"/>
  <c r="R47" i="1"/>
  <c r="G47" i="1"/>
  <c r="K47" i="1" s="1"/>
  <c r="AH45" i="1"/>
  <c r="AE45" i="1"/>
  <c r="AD45" i="1"/>
  <c r="AB45" i="1"/>
  <c r="Y45" i="1"/>
  <c r="X45" i="1"/>
  <c r="V45" i="1"/>
  <c r="T45" i="1"/>
  <c r="S45" i="1"/>
  <c r="R45" i="1"/>
  <c r="Q45" i="1"/>
  <c r="P45" i="1"/>
  <c r="O45" i="1"/>
  <c r="M45" i="1"/>
  <c r="L45" i="1"/>
  <c r="J45" i="1"/>
  <c r="I45" i="1"/>
  <c r="H45" i="1"/>
  <c r="F45" i="1"/>
  <c r="D45" i="1"/>
  <c r="C45" i="1"/>
  <c r="AB44" i="1"/>
  <c r="AA44" i="1"/>
  <c r="AA39" i="1" s="1"/>
  <c r="W44" i="1"/>
  <c r="Z44" i="1" s="1"/>
  <c r="AC44" i="1" s="1"/>
  <c r="AF44" i="1" s="1"/>
  <c r="AI44" i="1" s="1"/>
  <c r="R44" i="1"/>
  <c r="U44" i="1" s="1"/>
  <c r="K44" i="1"/>
  <c r="N44" i="1" s="1"/>
  <c r="G44" i="1"/>
  <c r="Y43" i="1"/>
  <c r="W43" i="1"/>
  <c r="Z43" i="1" s="1"/>
  <c r="AC43" i="1" s="1"/>
  <c r="AF43" i="1" s="1"/>
  <c r="AI43" i="1" s="1"/>
  <c r="U43" i="1"/>
  <c r="R43" i="1"/>
  <c r="N43" i="1"/>
  <c r="K43" i="1"/>
  <c r="G43" i="1"/>
  <c r="AB42" i="1"/>
  <c r="AA42" i="1"/>
  <c r="Z42" i="1"/>
  <c r="AC42" i="1" s="1"/>
  <c r="AF42" i="1" s="1"/>
  <c r="AI42" i="1" s="1"/>
  <c r="W42" i="1"/>
  <c r="P42" i="1"/>
  <c r="R42" i="1" s="1"/>
  <c r="U42" i="1" s="1"/>
  <c r="K42" i="1"/>
  <c r="N42" i="1" s="1"/>
  <c r="G42" i="1"/>
  <c r="AE41" i="1"/>
  <c r="AE39" i="1" s="1"/>
  <c r="AB41" i="1"/>
  <c r="Y41" i="1"/>
  <c r="Z41" i="1" s="1"/>
  <c r="AC41" i="1" s="1"/>
  <c r="AF41" i="1" s="1"/>
  <c r="T41" i="1"/>
  <c r="P41" i="1"/>
  <c r="R41" i="1" s="1"/>
  <c r="E41" i="1"/>
  <c r="G41" i="1" s="1"/>
  <c r="AH39" i="1"/>
  <c r="AG39" i="1"/>
  <c r="AD39" i="1"/>
  <c r="AB39" i="1"/>
  <c r="X39" i="1"/>
  <c r="V39" i="1"/>
  <c r="T39" i="1"/>
  <c r="S39" i="1"/>
  <c r="Q39" i="1"/>
  <c r="P39" i="1"/>
  <c r="O39" i="1"/>
  <c r="M39" i="1"/>
  <c r="L39" i="1"/>
  <c r="J39" i="1"/>
  <c r="I39" i="1"/>
  <c r="H39" i="1"/>
  <c r="F39" i="1"/>
  <c r="D39" i="1"/>
  <c r="C39" i="1"/>
  <c r="AG38" i="1"/>
  <c r="AE38" i="1"/>
  <c r="AB38" i="1"/>
  <c r="AA38" i="1"/>
  <c r="Y38" i="1"/>
  <c r="W38" i="1"/>
  <c r="Z38" i="1" s="1"/>
  <c r="AC38" i="1" s="1"/>
  <c r="AF38" i="1" s="1"/>
  <c r="AI38" i="1" s="1"/>
  <c r="U38" i="1"/>
  <c r="R38" i="1"/>
  <c r="H38" i="1"/>
  <c r="H23" i="1" s="1"/>
  <c r="H294" i="1" s="1"/>
  <c r="H396" i="1" s="1"/>
  <c r="H408" i="1" s="1"/>
  <c r="G38" i="1"/>
  <c r="K38" i="1" s="1"/>
  <c r="AC37" i="1"/>
  <c r="AF37" i="1" s="1"/>
  <c r="AI37" i="1" s="1"/>
  <c r="AB37" i="1"/>
  <c r="AC36" i="1"/>
  <c r="AF36" i="1" s="1"/>
  <c r="AI36" i="1" s="1"/>
  <c r="AB36" i="1"/>
  <c r="W35" i="1"/>
  <c r="Z35" i="1" s="1"/>
  <c r="AC35" i="1" s="1"/>
  <c r="AF35" i="1" s="1"/>
  <c r="AI35" i="1" s="1"/>
  <c r="AF34" i="1"/>
  <c r="AI34" i="1" s="1"/>
  <c r="AE34" i="1"/>
  <c r="AI33" i="1"/>
  <c r="AF33" i="1"/>
  <c r="AI32" i="1"/>
  <c r="AF32" i="1"/>
  <c r="AE31" i="1"/>
  <c r="Z31" i="1"/>
  <c r="AC31" i="1" s="1"/>
  <c r="AF31" i="1" s="1"/>
  <c r="AI31" i="1" s="1"/>
  <c r="W31" i="1"/>
  <c r="W30" i="1"/>
  <c r="Z30" i="1" s="1"/>
  <c r="AC30" i="1" s="1"/>
  <c r="AF30" i="1" s="1"/>
  <c r="AI30" i="1" s="1"/>
  <c r="Z29" i="1"/>
  <c r="AC29" i="1" s="1"/>
  <c r="AF29" i="1" s="1"/>
  <c r="AI29" i="1" s="1"/>
  <c r="W29" i="1"/>
  <c r="W28" i="1"/>
  <c r="Z28" i="1" s="1"/>
  <c r="AC28" i="1" s="1"/>
  <c r="AF28" i="1" s="1"/>
  <c r="AI28" i="1" s="1"/>
  <c r="R28" i="1"/>
  <c r="U28" i="1" s="1"/>
  <c r="U23" i="1" s="1"/>
  <c r="AF27" i="1"/>
  <c r="AI27" i="1" s="1"/>
  <c r="AE27" i="1"/>
  <c r="W26" i="1"/>
  <c r="Z26" i="1" s="1"/>
  <c r="AC26" i="1" s="1"/>
  <c r="AF26" i="1" s="1"/>
  <c r="AI26" i="1" s="1"/>
  <c r="Z25" i="1"/>
  <c r="AC25" i="1" s="1"/>
  <c r="AF25" i="1" s="1"/>
  <c r="Y25" i="1"/>
  <c r="AH23" i="1"/>
  <c r="AG23" i="1"/>
  <c r="AE23" i="1"/>
  <c r="AD23" i="1"/>
  <c r="AB23" i="1"/>
  <c r="AA23" i="1"/>
  <c r="Y23" i="1"/>
  <c r="X23" i="1"/>
  <c r="W23" i="1"/>
  <c r="V23" i="1"/>
  <c r="T23" i="1"/>
  <c r="S23" i="1"/>
  <c r="Q23" i="1"/>
  <c r="Q294" i="1" s="1"/>
  <c r="Q396" i="1" s="1"/>
  <c r="Q408" i="1" s="1"/>
  <c r="P23" i="1"/>
  <c r="O23" i="1"/>
  <c r="O294" i="1" s="1"/>
  <c r="O396" i="1" s="1"/>
  <c r="O408" i="1" s="1"/>
  <c r="M23" i="1"/>
  <c r="M294" i="1" s="1"/>
  <c r="M396" i="1" s="1"/>
  <c r="M408" i="1" s="1"/>
  <c r="L23" i="1"/>
  <c r="J23" i="1"/>
  <c r="I23" i="1"/>
  <c r="I294" i="1" s="1"/>
  <c r="I396" i="1" s="1"/>
  <c r="I408" i="1" s="1"/>
  <c r="G23" i="1"/>
  <c r="F23" i="1"/>
  <c r="E23" i="1"/>
  <c r="D23" i="1"/>
  <c r="C23" i="1"/>
  <c r="C294" i="1" s="1"/>
  <c r="C396" i="1" s="1"/>
  <c r="C408" i="1" s="1"/>
  <c r="AH19" i="1"/>
  <c r="AG19" i="1"/>
  <c r="AD19" i="1"/>
  <c r="Y19" i="1"/>
  <c r="X19" i="1"/>
  <c r="V19" i="1"/>
  <c r="V20" i="1" s="1"/>
  <c r="T19" i="1"/>
  <c r="S19" i="1"/>
  <c r="S20" i="1" s="1"/>
  <c r="Q19" i="1"/>
  <c r="P19" i="1"/>
  <c r="M19" i="1"/>
  <c r="L19" i="1"/>
  <c r="J19" i="1"/>
  <c r="I19" i="1"/>
  <c r="H19" i="1"/>
  <c r="F19" i="1"/>
  <c r="D19" i="1"/>
  <c r="C19" i="1"/>
  <c r="W18" i="1"/>
  <c r="Z18" i="1" s="1"/>
  <c r="AC18" i="1" s="1"/>
  <c r="AF18" i="1" s="1"/>
  <c r="AI18" i="1" s="1"/>
  <c r="R18" i="1"/>
  <c r="U18" i="1" s="1"/>
  <c r="K18" i="1"/>
  <c r="N18" i="1" s="1"/>
  <c r="G18" i="1"/>
  <c r="Z17" i="1"/>
  <c r="AB17" i="1" s="1"/>
  <c r="AB19" i="1" s="1"/>
  <c r="R17" i="1"/>
  <c r="U17" i="1" s="1"/>
  <c r="K17" i="1"/>
  <c r="N17" i="1" s="1"/>
  <c r="G17" i="1"/>
  <c r="AC16" i="1"/>
  <c r="AF16" i="1" s="1"/>
  <c r="AI16" i="1" s="1"/>
  <c r="Z16" i="1"/>
  <c r="U16" i="1"/>
  <c r="R16" i="1"/>
  <c r="G16" i="1"/>
  <c r="K16" i="1" s="1"/>
  <c r="N16" i="1" s="1"/>
  <c r="Z15" i="1"/>
  <c r="AC15" i="1" s="1"/>
  <c r="AF15" i="1" s="1"/>
  <c r="AI15" i="1" s="1"/>
  <c r="R15" i="1"/>
  <c r="U15" i="1" s="1"/>
  <c r="K15" i="1"/>
  <c r="N15" i="1" s="1"/>
  <c r="G15" i="1"/>
  <c r="AI14" i="1"/>
  <c r="AG14" i="1"/>
  <c r="AA13" i="1"/>
  <c r="AA19" i="1" s="1"/>
  <c r="Z13" i="1"/>
  <c r="AC13" i="1" s="1"/>
  <c r="AF13" i="1" s="1"/>
  <c r="AI13" i="1" s="1"/>
  <c r="R13" i="1"/>
  <c r="U13" i="1" s="1"/>
  <c r="K13" i="1"/>
  <c r="N13" i="1" s="1"/>
  <c r="G13" i="1"/>
  <c r="W12" i="1"/>
  <c r="Z12" i="1" s="1"/>
  <c r="AC12" i="1" s="1"/>
  <c r="AF12" i="1" s="1"/>
  <c r="AI12" i="1" s="1"/>
  <c r="R12" i="1"/>
  <c r="U12" i="1" s="1"/>
  <c r="O12" i="1"/>
  <c r="G12" i="1"/>
  <c r="K12" i="1" s="1"/>
  <c r="N12" i="1" s="1"/>
  <c r="Z11" i="1"/>
  <c r="AC11" i="1" s="1"/>
  <c r="AF11" i="1" s="1"/>
  <c r="W11" i="1"/>
  <c r="W19" i="1" s="1"/>
  <c r="O11" i="1"/>
  <c r="O19" i="1" s="1"/>
  <c r="E11" i="1"/>
  <c r="E19" i="1" s="1"/>
  <c r="AH8" i="1"/>
  <c r="AH20" i="1" s="1"/>
  <c r="X8" i="1"/>
  <c r="X20" i="1" s="1"/>
  <c r="V8" i="1"/>
  <c r="S8" i="1"/>
  <c r="Q8" i="1"/>
  <c r="Q20" i="1" s="1"/>
  <c r="M8" i="1"/>
  <c r="M20" i="1" s="1"/>
  <c r="L8" i="1"/>
  <c r="L20" i="1" s="1"/>
  <c r="J8" i="1"/>
  <c r="J20" i="1" s="1"/>
  <c r="I8" i="1"/>
  <c r="I20" i="1" s="1"/>
  <c r="H8" i="1"/>
  <c r="H20" i="1" s="1"/>
  <c r="D8" i="1"/>
  <c r="D20" i="1" s="1"/>
  <c r="C8" i="1"/>
  <c r="C20" i="1" s="1"/>
  <c r="AG7" i="1"/>
  <c r="AE7" i="1"/>
  <c r="AB7" i="1"/>
  <c r="Y7" i="1"/>
  <c r="W7" i="1"/>
  <c r="Z7" i="1" s="1"/>
  <c r="AC7" i="1" s="1"/>
  <c r="AF7" i="1" s="1"/>
  <c r="AI7" i="1" s="1"/>
  <c r="T7" i="1"/>
  <c r="P7" i="1"/>
  <c r="O7" i="1"/>
  <c r="O8" i="1" s="1"/>
  <c r="O20" i="1" s="1"/>
  <c r="J7" i="1"/>
  <c r="F7" i="1"/>
  <c r="E7" i="1"/>
  <c r="G7" i="1" s="1"/>
  <c r="K7" i="1" s="1"/>
  <c r="N7" i="1" s="1"/>
  <c r="AG6" i="1"/>
  <c r="AD6" i="1"/>
  <c r="AD8" i="1" s="1"/>
  <c r="AD20" i="1" s="1"/>
  <c r="Z6" i="1"/>
  <c r="AC6" i="1" s="1"/>
  <c r="AF6" i="1" s="1"/>
  <c r="AI6" i="1" s="1"/>
  <c r="R6" i="1"/>
  <c r="U6" i="1" s="1"/>
  <c r="F6" i="1"/>
  <c r="F8" i="1" s="1"/>
  <c r="F20" i="1" s="1"/>
  <c r="AG5" i="1"/>
  <c r="AE5" i="1"/>
  <c r="AE8" i="1" s="1"/>
  <c r="AE20" i="1" s="1"/>
  <c r="AB5" i="1"/>
  <c r="AB8" i="1" s="1"/>
  <c r="AB20" i="1" s="1"/>
  <c r="AA5" i="1"/>
  <c r="Y5" i="1"/>
  <c r="Y8" i="1" s="1"/>
  <c r="Y20" i="1" s="1"/>
  <c r="W5" i="1"/>
  <c r="Z5" i="1" s="1"/>
  <c r="AC5" i="1" s="1"/>
  <c r="AF5" i="1" s="1"/>
  <c r="AI5" i="1" s="1"/>
  <c r="T5" i="1"/>
  <c r="T8" i="1" s="1"/>
  <c r="T20" i="1" s="1"/>
  <c r="P5" i="1"/>
  <c r="P8" i="1" s="1"/>
  <c r="P20" i="1" s="1"/>
  <c r="J5" i="1"/>
  <c r="F5" i="1"/>
  <c r="E5" i="1"/>
  <c r="E8" i="1" s="1"/>
  <c r="E20" i="1" s="1"/>
  <c r="AG4" i="1"/>
  <c r="AG8" i="1" s="1"/>
  <c r="AG20" i="1" s="1"/>
  <c r="AA4" i="1"/>
  <c r="AA8" i="1" s="1"/>
  <c r="AA20" i="1" s="1"/>
  <c r="Z4" i="1"/>
  <c r="AC4" i="1" s="1"/>
  <c r="W4" i="1"/>
  <c r="W8" i="1" s="1"/>
  <c r="W20" i="1" s="1"/>
  <c r="U4" i="1"/>
  <c r="R4" i="1"/>
  <c r="G4" i="1"/>
  <c r="F4" i="1"/>
  <c r="Z20" i="1" l="1"/>
  <c r="AC20" i="1" s="1"/>
  <c r="R39" i="1"/>
  <c r="U41" i="1"/>
  <c r="U39" i="1" s="1"/>
  <c r="N47" i="1"/>
  <c r="K45" i="1"/>
  <c r="N45" i="1" s="1"/>
  <c r="AI47" i="1"/>
  <c r="AI62" i="1"/>
  <c r="AC8" i="1"/>
  <c r="AF4" i="1"/>
  <c r="Z8" i="1"/>
  <c r="AF19" i="1"/>
  <c r="AI19" i="1" s="1"/>
  <c r="AI11" i="1"/>
  <c r="AI25" i="1"/>
  <c r="AF23" i="1"/>
  <c r="K41" i="1"/>
  <c r="G39" i="1"/>
  <c r="Z45" i="1"/>
  <c r="AC49" i="1"/>
  <c r="AF49" i="1" s="1"/>
  <c r="AI49" i="1" s="1"/>
  <c r="AI55" i="1"/>
  <c r="U53" i="1"/>
  <c r="U65" i="1"/>
  <c r="Z89" i="1"/>
  <c r="AC89" i="1" s="1"/>
  <c r="AF89" i="1" s="1"/>
  <c r="AI89" i="1" s="1"/>
  <c r="W65" i="1"/>
  <c r="N38" i="1"/>
  <c r="K23" i="1"/>
  <c r="AI41" i="1"/>
  <c r="AF39" i="1"/>
  <c r="AI39" i="1" s="1"/>
  <c r="K59" i="1"/>
  <c r="N59" i="1" s="1"/>
  <c r="N53" i="1" s="1"/>
  <c r="G53" i="1"/>
  <c r="K53" i="1" s="1"/>
  <c r="N62" i="1"/>
  <c r="N60" i="1" s="1"/>
  <c r="K60" i="1"/>
  <c r="AC63" i="1"/>
  <c r="AF63" i="1" s="1"/>
  <c r="AI63" i="1" s="1"/>
  <c r="Z60" i="1"/>
  <c r="AC60" i="1" s="1"/>
  <c r="N68" i="1"/>
  <c r="G5" i="1"/>
  <c r="K5" i="1" s="1"/>
  <c r="N5" i="1" s="1"/>
  <c r="R7" i="1"/>
  <c r="U7" i="1" s="1"/>
  <c r="AC17" i="1"/>
  <c r="AF17" i="1" s="1"/>
  <c r="AI17" i="1" s="1"/>
  <c r="Z19" i="1"/>
  <c r="AC19" i="1" s="1"/>
  <c r="AE294" i="1"/>
  <c r="AE396" i="1" s="1"/>
  <c r="AE408" i="1" s="1"/>
  <c r="K4" i="1"/>
  <c r="R5" i="1"/>
  <c r="G6" i="1"/>
  <c r="K6" i="1" s="1"/>
  <c r="N6" i="1" s="1"/>
  <c r="G11" i="1"/>
  <c r="R11" i="1"/>
  <c r="D294" i="1"/>
  <c r="D396" i="1" s="1"/>
  <c r="D408" i="1" s="1"/>
  <c r="F294" i="1"/>
  <c r="J294" i="1"/>
  <c r="J396" i="1" s="1"/>
  <c r="J408" i="1" s="1"/>
  <c r="L294" i="1"/>
  <c r="L396" i="1" s="1"/>
  <c r="L408" i="1" s="1"/>
  <c r="R23" i="1"/>
  <c r="X294" i="1"/>
  <c r="X396" i="1" s="1"/>
  <c r="X408" i="1" s="1"/>
  <c r="Z23" i="1"/>
  <c r="AC23" i="1" s="1"/>
  <c r="AD294" i="1"/>
  <c r="AD396" i="1" s="1"/>
  <c r="AD408" i="1" s="1"/>
  <c r="AH294" i="1"/>
  <c r="AH396" i="1" s="1"/>
  <c r="AH408" i="1" s="1"/>
  <c r="E39" i="1"/>
  <c r="W39" i="1"/>
  <c r="Z39" i="1" s="1"/>
  <c r="AC39" i="1" s="1"/>
  <c r="Y39" i="1"/>
  <c r="E45" i="1"/>
  <c r="E294" i="1" s="1"/>
  <c r="E396" i="1" s="1"/>
  <c r="E408" i="1" s="1"/>
  <c r="G45" i="1"/>
  <c r="W45" i="1"/>
  <c r="AA45" i="1"/>
  <c r="P53" i="1"/>
  <c r="P294" i="1" s="1"/>
  <c r="P396" i="1" s="1"/>
  <c r="P408" i="1" s="1"/>
  <c r="R53" i="1"/>
  <c r="AA57" i="1"/>
  <c r="AA53" i="1" s="1"/>
  <c r="G60" i="1"/>
  <c r="W60" i="1"/>
  <c r="R65" i="1"/>
  <c r="Z65" i="1"/>
  <c r="AC65" i="1" s="1"/>
  <c r="AA67" i="1"/>
  <c r="AA65" i="1" s="1"/>
  <c r="AC117" i="1"/>
  <c r="AF117" i="1" s="1"/>
  <c r="AI117" i="1" s="1"/>
  <c r="G166" i="1"/>
  <c r="W169" i="1"/>
  <c r="U167" i="1"/>
  <c r="Z170" i="1"/>
  <c r="AC170" i="1" s="1"/>
  <c r="AF170" i="1" s="1"/>
  <c r="AI170" i="1" s="1"/>
  <c r="N181" i="1"/>
  <c r="N179" i="1" s="1"/>
  <c r="K179" i="1"/>
  <c r="AF179" i="1"/>
  <c r="AI179" i="1" s="1"/>
  <c r="AI181" i="1"/>
  <c r="AI191" i="1"/>
  <c r="K192" i="1"/>
  <c r="N192" i="1" s="1"/>
  <c r="N189" i="1" s="1"/>
  <c r="G189" i="1"/>
  <c r="K189" i="1" s="1"/>
  <c r="N195" i="1"/>
  <c r="N193" i="1" s="1"/>
  <c r="K193" i="1"/>
  <c r="U193" i="1"/>
  <c r="AG294" i="1"/>
  <c r="K169" i="1"/>
  <c r="G167" i="1"/>
  <c r="R179" i="1"/>
  <c r="U188" i="1"/>
  <c r="U179" i="1" s="1"/>
  <c r="W189" i="1"/>
  <c r="Z189" i="1" s="1"/>
  <c r="AC189" i="1" s="1"/>
  <c r="Z192" i="1"/>
  <c r="AC192" i="1" s="1"/>
  <c r="AF192" i="1" s="1"/>
  <c r="AI192" i="1" s="1"/>
  <c r="AI195" i="1"/>
  <c r="Z199" i="1"/>
  <c r="W193" i="1"/>
  <c r="G179" i="1"/>
  <c r="W179" i="1"/>
  <c r="Z179" i="1" s="1"/>
  <c r="AC179" i="1" s="1"/>
  <c r="R189" i="1"/>
  <c r="G193" i="1"/>
  <c r="Y193" i="1"/>
  <c r="Y294" i="1" s="1"/>
  <c r="Y396" i="1" s="1"/>
  <c r="Y408" i="1" s="1"/>
  <c r="AC244" i="1"/>
  <c r="AF244" i="1" s="1"/>
  <c r="AI244" i="1" s="1"/>
  <c r="K253" i="1"/>
  <c r="G251" i="1"/>
  <c r="N255" i="1"/>
  <c r="Z266" i="1"/>
  <c r="AC266" i="1" s="1"/>
  <c r="AF266" i="1" s="1"/>
  <c r="AI266" i="1" s="1"/>
  <c r="W255" i="1"/>
  <c r="Z255" i="1" s="1"/>
  <c r="W280" i="1"/>
  <c r="U278" i="1"/>
  <c r="Z283" i="1"/>
  <c r="S294" i="1"/>
  <c r="V294" i="1"/>
  <c r="N288" i="1"/>
  <c r="AI290" i="1"/>
  <c r="AF288" i="1"/>
  <c r="AI288" i="1" s="1"/>
  <c r="Z304" i="1"/>
  <c r="AA304" i="1" s="1"/>
  <c r="Z305" i="1"/>
  <c r="N307" i="1"/>
  <c r="N305" i="1" s="1"/>
  <c r="K305" i="1"/>
  <c r="Z307" i="1"/>
  <c r="AA307" i="1"/>
  <c r="W305" i="1"/>
  <c r="W313" i="1"/>
  <c r="U311" i="1"/>
  <c r="Z285" i="1"/>
  <c r="W283" i="1"/>
  <c r="AA285" i="1"/>
  <c r="U287" i="1"/>
  <c r="U283" i="1" s="1"/>
  <c r="U294" i="1" s="1"/>
  <c r="R283" i="1"/>
  <c r="Z297" i="1"/>
  <c r="AC297" i="1" s="1"/>
  <c r="AI299" i="1"/>
  <c r="Z310" i="1"/>
  <c r="AA310" i="1" s="1"/>
  <c r="G311" i="1"/>
  <c r="K311" i="1" s="1"/>
  <c r="K314" i="1"/>
  <c r="N314" i="1" s="1"/>
  <c r="N311" i="1" s="1"/>
  <c r="Z319" i="1"/>
  <c r="AA319" i="1" s="1"/>
  <c r="AA311" i="1" s="1"/>
  <c r="E251" i="1"/>
  <c r="W251" i="1"/>
  <c r="Z251" i="1" s="1"/>
  <c r="AC251" i="1" s="1"/>
  <c r="R255" i="1"/>
  <c r="AA257" i="1"/>
  <c r="AA255" i="1" s="1"/>
  <c r="R278" i="1"/>
  <c r="P283" i="1"/>
  <c r="T283" i="1"/>
  <c r="T294" i="1" s="1"/>
  <c r="T396" i="1" s="1"/>
  <c r="T408" i="1" s="1"/>
  <c r="R288" i="1"/>
  <c r="Z288" i="1"/>
  <c r="AC288" i="1" s="1"/>
  <c r="G297" i="1"/>
  <c r="U297" i="1"/>
  <c r="W297" i="1"/>
  <c r="Y395" i="1"/>
  <c r="AG297" i="1"/>
  <c r="AG395" i="1" s="1"/>
  <c r="G305" i="1"/>
  <c r="U305" i="1"/>
  <c r="F311" i="1"/>
  <c r="P311" i="1"/>
  <c r="R311" i="1"/>
  <c r="N320" i="1"/>
  <c r="AI322" i="1"/>
  <c r="W320" i="1"/>
  <c r="Z320" i="1" s="1"/>
  <c r="AC320" i="1" s="1"/>
  <c r="Z323" i="1"/>
  <c r="AC323" i="1" s="1"/>
  <c r="AF323" i="1" s="1"/>
  <c r="AI323" i="1" s="1"/>
  <c r="U325" i="1"/>
  <c r="U320" i="1" s="1"/>
  <c r="R320" i="1"/>
  <c r="W328" i="1"/>
  <c r="U326" i="1"/>
  <c r="N330" i="1"/>
  <c r="AA345" i="1"/>
  <c r="Z345" i="1"/>
  <c r="Z346" i="1"/>
  <c r="Z353" i="1"/>
  <c r="AA353" i="1" s="1"/>
  <c r="W356" i="1"/>
  <c r="U354" i="1"/>
  <c r="N360" i="1"/>
  <c r="N358" i="1" s="1"/>
  <c r="K358" i="1"/>
  <c r="AC363" i="1"/>
  <c r="AF363" i="1" s="1"/>
  <c r="AI363" i="1" s="1"/>
  <c r="Z358" i="1"/>
  <c r="AI368" i="1"/>
  <c r="F395" i="1"/>
  <c r="P395" i="1"/>
  <c r="R297" i="1"/>
  <c r="T395" i="1"/>
  <c r="Z329" i="1"/>
  <c r="AA329" i="1"/>
  <c r="W332" i="1"/>
  <c r="U330" i="1"/>
  <c r="Z339" i="1"/>
  <c r="AA339" i="1"/>
  <c r="W342" i="1"/>
  <c r="U340" i="1"/>
  <c r="N343" i="1"/>
  <c r="N340" i="1" s="1"/>
  <c r="K340" i="1"/>
  <c r="Z348" i="1"/>
  <c r="AA348" i="1"/>
  <c r="W346" i="1"/>
  <c r="Z357" i="1"/>
  <c r="AA365" i="1"/>
  <c r="Z365" i="1"/>
  <c r="W358" i="1"/>
  <c r="W366" i="1"/>
  <c r="Z366" i="1" s="1"/>
  <c r="Z371" i="1"/>
  <c r="R354" i="1"/>
  <c r="AA360" i="1"/>
  <c r="R366" i="1"/>
  <c r="N372" i="1"/>
  <c r="R372" i="1"/>
  <c r="U379" i="1"/>
  <c r="Z381" i="1"/>
  <c r="W384" i="1"/>
  <c r="U382" i="1"/>
  <c r="N386" i="1"/>
  <c r="N390" i="1"/>
  <c r="AA392" i="1"/>
  <c r="AA390" i="1" s="1"/>
  <c r="Z392" i="1"/>
  <c r="W374" i="1"/>
  <c r="U372" i="1"/>
  <c r="W388" i="1"/>
  <c r="U386" i="1"/>
  <c r="S395" i="1"/>
  <c r="S396" i="1" s="1"/>
  <c r="U390" i="1"/>
  <c r="U395" i="1" s="1"/>
  <c r="W394" i="1"/>
  <c r="Z394" i="1" s="1"/>
  <c r="AC394" i="1" s="1"/>
  <c r="AF394" i="1" s="1"/>
  <c r="AI394" i="1" s="1"/>
  <c r="V395" i="1"/>
  <c r="AI399" i="1"/>
  <c r="Z400" i="1"/>
  <c r="W407" i="1"/>
  <c r="Z407" i="1" s="1"/>
  <c r="AA400" i="1"/>
  <c r="Z402" i="1"/>
  <c r="AC404" i="1"/>
  <c r="AF404" i="1" s="1"/>
  <c r="AI404" i="1" s="1"/>
  <c r="AB404" i="1"/>
  <c r="AC405" i="1"/>
  <c r="AF405" i="1" s="1"/>
  <c r="AI405" i="1" s="1"/>
  <c r="AB405" i="1"/>
  <c r="S408" i="1"/>
  <c r="AA385" i="1"/>
  <c r="Z401" i="1"/>
  <c r="AA401" i="1"/>
  <c r="K399" i="1"/>
  <c r="G403" i="1"/>
  <c r="K403" i="1" s="1"/>
  <c r="N403" i="1" s="1"/>
  <c r="N395" i="1" l="1"/>
  <c r="AB385" i="1"/>
  <c r="AC385" i="1" s="1"/>
  <c r="AF385" i="1" s="1"/>
  <c r="AI385" i="1" s="1"/>
  <c r="AC392" i="1"/>
  <c r="AF392" i="1" s="1"/>
  <c r="AB392" i="1"/>
  <c r="AB390" i="1" s="1"/>
  <c r="Z384" i="1"/>
  <c r="AA384" i="1" s="1"/>
  <c r="W382" i="1"/>
  <c r="W326" i="1"/>
  <c r="Z328" i="1"/>
  <c r="N399" i="1"/>
  <c r="N407" i="1" s="1"/>
  <c r="K407" i="1"/>
  <c r="AB401" i="1"/>
  <c r="AC401" i="1"/>
  <c r="AF401" i="1" s="1"/>
  <c r="AI401" i="1" s="1"/>
  <c r="AA402" i="1"/>
  <c r="AA407" i="1"/>
  <c r="AB400" i="1"/>
  <c r="AC400" i="1"/>
  <c r="AF400" i="1" s="1"/>
  <c r="G407" i="1"/>
  <c r="V396" i="1"/>
  <c r="Z388" i="1"/>
  <c r="AA388" i="1" s="1"/>
  <c r="AA386" i="1" s="1"/>
  <c r="W386" i="1"/>
  <c r="Z386" i="1" s="1"/>
  <c r="Z374" i="1"/>
  <c r="AA374" i="1"/>
  <c r="AA372" i="1" s="1"/>
  <c r="W372" i="1"/>
  <c r="Z372" i="1" s="1"/>
  <c r="W390" i="1"/>
  <c r="Z390" i="1" s="1"/>
  <c r="AC390" i="1" s="1"/>
  <c r="AA381" i="1"/>
  <c r="AB381" i="1" s="1"/>
  <c r="AA358" i="1"/>
  <c r="AB371" i="1"/>
  <c r="AB366" i="1" s="1"/>
  <c r="AA371" i="1"/>
  <c r="AA366" i="1" s="1"/>
  <c r="AC366" i="1" s="1"/>
  <c r="AC365" i="1"/>
  <c r="AF365" i="1" s="1"/>
  <c r="AI365" i="1" s="1"/>
  <c r="AB365" i="1"/>
  <c r="AB358" i="1" s="1"/>
  <c r="AC360" i="1"/>
  <c r="AF360" i="1" s="1"/>
  <c r="AA357" i="1"/>
  <c r="AB357" i="1" s="1"/>
  <c r="AB348" i="1"/>
  <c r="AB346" i="1" s="1"/>
  <c r="W340" i="1"/>
  <c r="Z340" i="1" s="1"/>
  <c r="Z342" i="1"/>
  <c r="AB339" i="1"/>
  <c r="AB330" i="1" s="1"/>
  <c r="AC339" i="1"/>
  <c r="AF339" i="1" s="1"/>
  <c r="AI339" i="1" s="1"/>
  <c r="W330" i="1"/>
  <c r="Z330" i="1" s="1"/>
  <c r="Z332" i="1"/>
  <c r="AB329" i="1"/>
  <c r="AB326" i="1" s="1"/>
  <c r="R395" i="1"/>
  <c r="W354" i="1"/>
  <c r="Z356" i="1"/>
  <c r="AC345" i="1"/>
  <c r="AF345" i="1" s="1"/>
  <c r="AI345" i="1" s="1"/>
  <c r="AB345" i="1"/>
  <c r="AF320" i="1"/>
  <c r="AI320" i="1" s="1"/>
  <c r="G395" i="1"/>
  <c r="K297" i="1"/>
  <c r="K395" i="1" s="1"/>
  <c r="AB307" i="1"/>
  <c r="AB305" i="1" s="1"/>
  <c r="AC307" i="1"/>
  <c r="AF307" i="1" s="1"/>
  <c r="K167" i="1"/>
  <c r="N169" i="1"/>
  <c r="N167" i="1" s="1"/>
  <c r="AF189" i="1"/>
  <c r="AI189" i="1" s="1"/>
  <c r="G65" i="1"/>
  <c r="G294" i="1" s="1"/>
  <c r="K166" i="1"/>
  <c r="G19" i="1"/>
  <c r="K11" i="1"/>
  <c r="U5" i="1"/>
  <c r="U8" i="1" s="1"/>
  <c r="R8" i="1"/>
  <c r="AC67" i="1"/>
  <c r="AF67" i="1" s="1"/>
  <c r="AC57" i="1"/>
  <c r="AF57" i="1" s="1"/>
  <c r="AC53" i="1"/>
  <c r="AC45" i="1"/>
  <c r="N41" i="1"/>
  <c r="K39" i="1"/>
  <c r="N39" i="1" s="1"/>
  <c r="AI23" i="1"/>
  <c r="G8" i="1"/>
  <c r="G20" i="1" s="1"/>
  <c r="U396" i="1"/>
  <c r="U408" i="1" s="1"/>
  <c r="AA346" i="1"/>
  <c r="AC346" i="1" s="1"/>
  <c r="AC358" i="1"/>
  <c r="AC353" i="1"/>
  <c r="AF353" i="1" s="1"/>
  <c r="AI353" i="1" s="1"/>
  <c r="AC319" i="1"/>
  <c r="AF319" i="1" s="1"/>
  <c r="AI319" i="1" s="1"/>
  <c r="AC310" i="1"/>
  <c r="AF310" i="1" s="1"/>
  <c r="AI310" i="1" s="1"/>
  <c r="AB285" i="1"/>
  <c r="AB283" i="1" s="1"/>
  <c r="AC285" i="1"/>
  <c r="AF285" i="1" s="1"/>
  <c r="W311" i="1"/>
  <c r="Z311" i="1" s="1"/>
  <c r="Z313" i="1"/>
  <c r="AA305" i="1"/>
  <c r="AC305" i="1"/>
  <c r="AC304" i="1"/>
  <c r="AF304" i="1" s="1"/>
  <c r="AC283" i="1"/>
  <c r="W278" i="1"/>
  <c r="Z278" i="1" s="1"/>
  <c r="AC278" i="1" s="1"/>
  <c r="Z280" i="1"/>
  <c r="AC280" i="1" s="1"/>
  <c r="AF280" i="1" s="1"/>
  <c r="AB257" i="1"/>
  <c r="AB255" i="1" s="1"/>
  <c r="AC255" i="1" s="1"/>
  <c r="K251" i="1"/>
  <c r="N253" i="1"/>
  <c r="N251" i="1" s="1"/>
  <c r="Z193" i="1"/>
  <c r="AC193" i="1" s="1"/>
  <c r="AC199" i="1"/>
  <c r="AF199" i="1" s="1"/>
  <c r="AG396" i="1"/>
  <c r="AG408" i="1" s="1"/>
  <c r="W167" i="1"/>
  <c r="Z167" i="1" s="1"/>
  <c r="Z169" i="1"/>
  <c r="R294" i="1"/>
  <c r="R396" i="1" s="1"/>
  <c r="R408" i="1" s="1"/>
  <c r="F396" i="1"/>
  <c r="F408" i="1" s="1"/>
  <c r="U11" i="1"/>
  <c r="U19" i="1" s="1"/>
  <c r="U20" i="1" s="1"/>
  <c r="R19" i="1"/>
  <c r="K8" i="1"/>
  <c r="N4" i="1"/>
  <c r="N8" i="1" s="1"/>
  <c r="N23" i="1"/>
  <c r="AF8" i="1"/>
  <c r="AI4" i="1"/>
  <c r="AF60" i="1"/>
  <c r="AI60" i="1" s="1"/>
  <c r="AF45" i="1"/>
  <c r="AI45" i="1" s="1"/>
  <c r="AA169" i="1" l="1"/>
  <c r="AA167" i="1" s="1"/>
  <c r="AA294" i="1" s="1"/>
  <c r="AI199" i="1"/>
  <c r="AF193" i="1"/>
  <c r="AI193" i="1" s="1"/>
  <c r="AI304" i="1"/>
  <c r="AF297" i="1"/>
  <c r="AI57" i="1"/>
  <c r="AF53" i="1"/>
  <c r="AI53" i="1" s="1"/>
  <c r="W294" i="1"/>
  <c r="G396" i="1"/>
  <c r="G408" i="1" s="1"/>
  <c r="W395" i="1"/>
  <c r="Z395" i="1" s="1"/>
  <c r="AB356" i="1"/>
  <c r="AB354" i="1" s="1"/>
  <c r="AA356" i="1"/>
  <c r="AC356" i="1" s="1"/>
  <c r="AF356" i="1" s="1"/>
  <c r="AC329" i="1"/>
  <c r="AF329" i="1" s="1"/>
  <c r="AI329" i="1" s="1"/>
  <c r="AA332" i="1"/>
  <c r="AA330" i="1" s="1"/>
  <c r="AC348" i="1"/>
  <c r="AF348" i="1" s="1"/>
  <c r="AC371" i="1"/>
  <c r="AF371" i="1" s="1"/>
  <c r="AC372" i="1"/>
  <c r="AB374" i="1"/>
  <c r="AB372" i="1" s="1"/>
  <c r="AC374" i="1"/>
  <c r="AF374" i="1" s="1"/>
  <c r="AA326" i="1"/>
  <c r="Z326" i="1"/>
  <c r="AC357" i="1"/>
  <c r="AF357" i="1" s="1"/>
  <c r="AI357" i="1" s="1"/>
  <c r="AC381" i="1"/>
  <c r="AF381" i="1" s="1"/>
  <c r="AI381" i="1" s="1"/>
  <c r="AB402" i="1"/>
  <c r="AC402" i="1" s="1"/>
  <c r="AF402" i="1" s="1"/>
  <c r="AF20" i="1"/>
  <c r="AI20" i="1" s="1"/>
  <c r="AI8" i="1"/>
  <c r="AI280" i="1"/>
  <c r="AF278" i="1"/>
  <c r="AI278" i="1" s="1"/>
  <c r="AB313" i="1"/>
  <c r="AB311" i="1" s="1"/>
  <c r="AC311" i="1" s="1"/>
  <c r="AC313" i="1"/>
  <c r="AF313" i="1" s="1"/>
  <c r="AI285" i="1"/>
  <c r="AF283" i="1"/>
  <c r="AI283" i="1" s="1"/>
  <c r="AI67" i="1"/>
  <c r="AF65" i="1"/>
  <c r="AI65" i="1" s="1"/>
  <c r="R20" i="1"/>
  <c r="K19" i="1"/>
  <c r="K20" i="1" s="1"/>
  <c r="N11" i="1"/>
  <c r="N19" i="1" s="1"/>
  <c r="N20" i="1" s="1"/>
  <c r="N166" i="1"/>
  <c r="N65" i="1" s="1"/>
  <c r="N294" i="1" s="1"/>
  <c r="N396" i="1" s="1"/>
  <c r="N408" i="1" s="1"/>
  <c r="K65" i="1"/>
  <c r="K294" i="1" s="1"/>
  <c r="K396" i="1" s="1"/>
  <c r="K408" i="1" s="1"/>
  <c r="AF305" i="1"/>
  <c r="AI305" i="1" s="1"/>
  <c r="AI307" i="1"/>
  <c r="AC257" i="1"/>
  <c r="AF257" i="1" s="1"/>
  <c r="AA354" i="1"/>
  <c r="Z354" i="1"/>
  <c r="AC330" i="1"/>
  <c r="AB342" i="1"/>
  <c r="AB340" i="1" s="1"/>
  <c r="AA342" i="1"/>
  <c r="AA340" i="1" s="1"/>
  <c r="AC340" i="1" s="1"/>
  <c r="AI360" i="1"/>
  <c r="AF358" i="1"/>
  <c r="AI358" i="1" s="1"/>
  <c r="AC386" i="1"/>
  <c r="AB388" i="1"/>
  <c r="AB386" i="1" s="1"/>
  <c r="AC388" i="1"/>
  <c r="AF388" i="1" s="1"/>
  <c r="V408" i="1"/>
  <c r="AI400" i="1"/>
  <c r="AA328" i="1"/>
  <c r="AC328" i="1" s="1"/>
  <c r="AF328" i="1" s="1"/>
  <c r="Z382" i="1"/>
  <c r="AA382" i="1" s="1"/>
  <c r="AB384" i="1"/>
  <c r="AB382" i="1" s="1"/>
  <c r="AC384" i="1"/>
  <c r="AF384" i="1" s="1"/>
  <c r="AI392" i="1"/>
  <c r="AF390" i="1"/>
  <c r="AI390" i="1" s="1"/>
  <c r="AI402" i="1" l="1"/>
  <c r="AF407" i="1"/>
  <c r="AI407" i="1" s="1"/>
  <c r="AA395" i="1"/>
  <c r="AI356" i="1"/>
  <c r="AF354" i="1"/>
  <c r="AI354" i="1" s="1"/>
  <c r="AI328" i="1"/>
  <c r="AF326" i="1"/>
  <c r="AI326" i="1" s="1"/>
  <c r="AF382" i="1"/>
  <c r="AI382" i="1" s="1"/>
  <c r="AI384" i="1"/>
  <c r="AC342" i="1"/>
  <c r="AF342" i="1" s="1"/>
  <c r="AC354" i="1"/>
  <c r="AI257" i="1"/>
  <c r="AF255" i="1"/>
  <c r="AI255" i="1" s="1"/>
  <c r="AC326" i="1"/>
  <c r="AB407" i="1"/>
  <c r="AC407" i="1" s="1"/>
  <c r="AI371" i="1"/>
  <c r="AF366" i="1"/>
  <c r="AI366" i="1" s="1"/>
  <c r="AC332" i="1"/>
  <c r="AF332" i="1" s="1"/>
  <c r="AB395" i="1"/>
  <c r="W396" i="1"/>
  <c r="Z294" i="1"/>
  <c r="AB169" i="1"/>
  <c r="AB167" i="1" s="1"/>
  <c r="AC382" i="1"/>
  <c r="AF386" i="1"/>
  <c r="AI386" i="1" s="1"/>
  <c r="AI388" i="1"/>
  <c r="AI313" i="1"/>
  <c r="AF311" i="1"/>
  <c r="AI311" i="1" s="1"/>
  <c r="AF372" i="1"/>
  <c r="AI372" i="1" s="1"/>
  <c r="AI374" i="1"/>
  <c r="AF346" i="1"/>
  <c r="AI346" i="1" s="1"/>
  <c r="AI348" i="1"/>
  <c r="AC395" i="1"/>
  <c r="AI297" i="1"/>
  <c r="AA396" i="1"/>
  <c r="AA408" i="1" s="1"/>
  <c r="AC169" i="1" l="1"/>
  <c r="AF169" i="1" s="1"/>
  <c r="AI342" i="1"/>
  <c r="AF340" i="1"/>
  <c r="AI340" i="1" s="1"/>
  <c r="AB294" i="1"/>
  <c r="AB396" i="1" s="1"/>
  <c r="AB408" i="1" s="1"/>
  <c r="AC167" i="1"/>
  <c r="W408" i="1"/>
  <c r="Z408" i="1" s="1"/>
  <c r="Z396" i="1"/>
  <c r="AI332" i="1"/>
  <c r="AF330" i="1"/>
  <c r="AC408" i="1" l="1"/>
  <c r="AI330" i="1"/>
  <c r="AF395" i="1"/>
  <c r="AI395" i="1" s="1"/>
  <c r="AC396" i="1"/>
  <c r="AC294" i="1"/>
  <c r="AI169" i="1"/>
  <c r="AF167" i="1"/>
  <c r="AI167" i="1" l="1"/>
  <c r="AF294" i="1"/>
  <c r="AF396" i="1" l="1"/>
  <c r="AI294" i="1"/>
  <c r="AF408" i="1" l="1"/>
  <c r="AI408" i="1" s="1"/>
  <c r="AI396" i="1"/>
</calcChain>
</file>

<file path=xl/sharedStrings.xml><?xml version="1.0" encoding="utf-8"?>
<sst xmlns="http://schemas.openxmlformats.org/spreadsheetml/2006/main" count="665" uniqueCount="430">
  <si>
    <t>Závazný ukazatel</t>
  </si>
  <si>
    <t xml:space="preserve">     Časová použitelnost            dotací a příspěvků                         (od - do)</t>
  </si>
  <si>
    <t>Očekávaná skutečnost                          r. 2017*</t>
  </si>
  <si>
    <r>
      <t xml:space="preserve">Schválený rozpočet                                 na rok 2018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</si>
  <si>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t>Rozpočtová opatření rady města                                      č. 1 - 52</t>
  </si>
  <si>
    <t>1. změna                     rozpočtu                                 r. 2018</t>
  </si>
  <si>
    <r>
      <t xml:space="preserve">Rozpočet r. 2018                                                       po 1. změně rozpočtu                       a RO RM č. 1 - 76   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(v tis. Kč)</t>
    </r>
  </si>
  <si>
    <r>
      <t xml:space="preserve">2. změna rozpočtu                                roku 2018     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 (v tis. Kč)</t>
    </r>
  </si>
  <si>
    <r>
      <t xml:space="preserve">3. změna rozpočtu roku 2018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</si>
  <si>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RO RM                č. 77 - 165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</si>
  <si>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Rozpočet r. 2018 po 2. a 3. změně                                      a RO RM č. 1 - 165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(v tis. Kč)</t>
    </r>
  </si>
  <si>
    <r>
      <t xml:space="preserve">RO RM                                č. 166 - 189        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</si>
  <si>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4. změna                  rozpočtu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</si>
  <si>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Rozpočet r. 2018                                          po 4. změně                                             a RO RM č. 1 - 189           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</si>
  <si>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Schválený rozpočet        na rok 2019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</si>
  <si>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Rozpočtová                   opatření                         RM č. 1 - 76                                     </t>
    </r>
    <r>
      <rPr>
        <i/>
        <sz val="8"/>
        <color theme="1"/>
        <rFont val="Calibri"/>
        <family val="2"/>
        <charset val="238"/>
        <scheme val="minor"/>
      </rPr>
      <t>(v  tis. Kč)</t>
    </r>
  </si>
  <si>
    <r>
      <t xml:space="preserve">1. změna rozpočtu   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</si>
  <si>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     Rozpočet r. 2019                po 1. změně              a po RO RM                        č. 1 - 121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</si>
  <si>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            2. změna                 rozpočtu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</si>
  <si>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          RO RM                č. 122-145           </t>
    </r>
    <r>
      <rPr>
        <i/>
        <sz val="8"/>
        <color theme="1"/>
        <rFont val="Calibri"/>
        <family val="2"/>
        <charset val="238"/>
        <scheme val="minor"/>
      </rPr>
      <t xml:space="preserve"> (v tis. Kč)</t>
    </r>
  </si>
  <si>
    <r>
      <t xml:space="preserve">  Rozpočet r. 2019               po 2. změně                a po RO RM                    č. 1 - 145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</si>
  <si>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Schválený rozpočet                               na rok 2020                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</si>
  <si>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t xml:space="preserve"> Rozpočet  r. 2020              po 1. změně               a po RO RM                        č. 1 - 49                       (v tis. Kč)</t>
  </si>
  <si>
    <t xml:space="preserve"> 2. změna rozpočtu         (v tis. Kč)</t>
  </si>
  <si>
    <t xml:space="preserve">         Rozpočtová                 opatření                RM č. 50 - 76                 (v tis. Kč)</t>
  </si>
  <si>
    <t xml:space="preserve">  Rozpočet roku 2020    po 2. změně                       a po RO RM                          č. 1 - 76                             (v tis. Kč)</t>
  </si>
  <si>
    <t>3. změna rozpočtu              (v tis. Kč)</t>
  </si>
  <si>
    <t xml:space="preserve">    Rozpočtová                 opatření                  RM č. 77 - 132                 (v tis. Kč)</t>
  </si>
  <si>
    <t xml:space="preserve">  Rozpočet roku 2020   po 3. změně                                        a po RO RM                                    č. 1 - 132                                        (v tis. Kč)      </t>
  </si>
  <si>
    <t xml:space="preserve">      4. změna rozpočtu                                        (v tis. Kč)</t>
  </si>
  <si>
    <t>Rozpočtová           opatření                                 RM č. 133 - 178                   (v tis. Kč)</t>
  </si>
  <si>
    <t xml:space="preserve">  Rozpočet roku 2020            po 4. změně                                    a po RO RM                                   č. 1 - 195                                          (v tis. Kč)</t>
  </si>
  <si>
    <t>5. změna rozpočtu             (v tis. Kč)</t>
  </si>
  <si>
    <t>sl. 1</t>
  </si>
  <si>
    <t>sl. 2</t>
  </si>
  <si>
    <t>sl. 3</t>
  </si>
  <si>
    <t>sl. 4</t>
  </si>
  <si>
    <t>sl. 5</t>
  </si>
  <si>
    <t>sl. 6</t>
  </si>
  <si>
    <t>sl 6</t>
  </si>
  <si>
    <t>Příjmy (třída 1 - 4)</t>
  </si>
  <si>
    <t>Daňové příjmy (třída 1)</t>
  </si>
  <si>
    <t>Nedaňové příjmy (třída 2)</t>
  </si>
  <si>
    <t>Kapitálové příjmy (třída 3)</t>
  </si>
  <si>
    <t>Přijaté transfery (třída 4)</t>
  </si>
  <si>
    <t>Příjmy celkem (třída 1 - 4)</t>
  </si>
  <si>
    <t>Financování - příjmy (třída 8)</t>
  </si>
  <si>
    <t>8115 - Účelový zůstatek minulého roku</t>
  </si>
  <si>
    <t>8115 - Neúčelový zůstatek minulého roku</t>
  </si>
  <si>
    <t>8115 - Čerpání FRB</t>
  </si>
  <si>
    <t>8115 - Fond rozvoje bydlení - zrušení fondu</t>
  </si>
  <si>
    <t>8115 - Čerpání sociálního fondu</t>
  </si>
  <si>
    <t xml:space="preserve">8115 - Čerpání fondu pomoci občanům dotčeným výstavbou komunikace R/48 </t>
  </si>
  <si>
    <t>8115 - Čerpání fondu pomoci občanům dotčeným živelními pohromami</t>
  </si>
  <si>
    <t>8123 - Čerpání revolvingového úvěru</t>
  </si>
  <si>
    <t>Financování - příjmy celkem (třída 8)</t>
  </si>
  <si>
    <t>Celkem zdroje (příjmy + financování)</t>
  </si>
  <si>
    <t>Běžné výdaje (třída 5)</t>
  </si>
  <si>
    <t>ORJ 01-Odbor kancelář primátora</t>
  </si>
  <si>
    <t>Z toho:</t>
  </si>
  <si>
    <t>Cyklistický klub Racing Olešná z.s. - Velká cena Frýdku-Místku - časovka</t>
  </si>
  <si>
    <t>1.1.2020 - 31.8.2020</t>
  </si>
  <si>
    <t>Český svaz včelařů, z. s. , základní organizace - na projekt Chlebovická medová stopa</t>
  </si>
  <si>
    <t>1.1.2020 - 11.12.2020</t>
  </si>
  <si>
    <t>Divadelní spolek FAMUS - pořízení nového mixážního pultu BEHRINGER X32 Producer, 3 ks RH SOUND DA 2450 koncových zesilovačů a příslušenství - kabely, konektory</t>
  </si>
  <si>
    <t>1.1.2020 - 22.12.2020</t>
  </si>
  <si>
    <t>ZO ČSOP Nový Jičín 70/02</t>
  </si>
  <si>
    <t>1.1.2020 - 30.11.2020</t>
  </si>
  <si>
    <t>Farní sbor Českobratrské církve evangelické ve Frýdku-Místku - na akci Na kafe s Komenským</t>
  </si>
  <si>
    <t>1.1.2020 - 31.5.2020</t>
  </si>
  <si>
    <t>ProJantar s.r.o. - zabezpečení akce Moravskoslezské kulturní Ceny Jantar</t>
  </si>
  <si>
    <t>SH ČMS - Sbor dobrovolných hasičů Skalice - akce Skalický kopec</t>
  </si>
  <si>
    <t>1.1.2020 - 31.10.2020</t>
  </si>
  <si>
    <t>SH ČMS - Sbor dobrovolných hasičů Skalice - účast žen na prestižní moravskoslezské lize v požárním útoku</t>
  </si>
  <si>
    <t>1.1.2020 - 15.12.2020</t>
  </si>
  <si>
    <t>Spolek Hudební Club Pošta - zabezpečení akce FREDDIE MERCURY REVIVAL QUEEN</t>
  </si>
  <si>
    <t>TANEČNÍ STUDIO DANCEPOINT, z.s. - na nákup gymnastického a sportovního vybavení</t>
  </si>
  <si>
    <t>Tělovýchovná jednota Slezan Frýdek-Místek, z.s. - na nákup dětského debl kajaku (K2) a stabilní lodě mk 1 pro začínající děti v kanoistice</t>
  </si>
  <si>
    <t>Ultras Lipina z. s. - Ultras Lipina nohejbal Open 2020</t>
  </si>
  <si>
    <t>Železniční muzeum moravskoslezské, o.p.s. - publikace Dráha moravskoslezských měst, Kojetín-Těšín-Bílsko</t>
  </si>
  <si>
    <t>Ostatní neinvestiční výdaje odboru kancelář primátora</t>
  </si>
  <si>
    <r>
      <t>OR</t>
    </r>
    <r>
      <rPr>
        <b/>
        <sz val="10"/>
        <color theme="1"/>
        <rFont val="Calibri"/>
        <family val="2"/>
        <charset val="238"/>
        <scheme val="minor"/>
      </rPr>
      <t>J 02-Odbor vnitřních věcí</t>
    </r>
  </si>
  <si>
    <t>Neinvestiční výdaje odboru vnitřních věcí z transferů</t>
  </si>
  <si>
    <t>Výdaje na opravy a udržování</t>
  </si>
  <si>
    <t>Neinvestiční výdaje hrazené ze sociálního fondu</t>
  </si>
  <si>
    <t>Ostatní neinvestiční výdaje odboru vnitřních věcí</t>
  </si>
  <si>
    <t>ORJ 03-Finanční odbor</t>
  </si>
  <si>
    <t>Sportplex Frýdek-Místek, s. r. o. - neinvestiční dotace</t>
  </si>
  <si>
    <t>1.1.2020 - 31.12.2020</t>
  </si>
  <si>
    <t>Československá obec legionářská, z.s. - neinvestiční dotace</t>
  </si>
  <si>
    <t>1.1.2020 - 14.12.2020</t>
  </si>
  <si>
    <t>Plánovaná rezerva města</t>
  </si>
  <si>
    <t>Rezerva na odvody a sankce</t>
  </si>
  <si>
    <t>Rezerva na výpadek příjmů z nájmů</t>
  </si>
  <si>
    <t>Ostatní neinvestiční výdaje finančního odboru</t>
  </si>
  <si>
    <t>ORJ 04-Odbor správy obecního majetku</t>
  </si>
  <si>
    <t>Neinvestiční výdaje odboru správy obecního majetku z transferů</t>
  </si>
  <si>
    <t>Neinvestiční výdaje hrazené z FRB</t>
  </si>
  <si>
    <t xml:space="preserve">Neinvestiční výdaje hrazené z Fondu pomoci občanům dotčeným výstavbou komunikace R/48 </t>
  </si>
  <si>
    <t>Ostatní neinvestiční výdaje odboru správy obecního majetku</t>
  </si>
  <si>
    <t>ORJ 05-Živnostenský úřad</t>
  </si>
  <si>
    <t>Sdružení ochrany spotřebitelů Moravy a Slezska - neinvestiční transfer</t>
  </si>
  <si>
    <t>Ostatní neinvestiční výdaje živnostenského úřadu</t>
  </si>
  <si>
    <t>ORJ 06-Odbor ŠKMaT</t>
  </si>
  <si>
    <t>Neinvestiční výdaje odboru ŠKMaT z transferů</t>
  </si>
  <si>
    <t>DP Podpora a rozvoj kulturních aktivit ve městě - viz doplňující příloha č. 1</t>
  </si>
  <si>
    <t>viz dopl. příloha č. 1</t>
  </si>
  <si>
    <t>DP Podpora a rozvoj sportu ve městě - viz doplňující příloha č. 2</t>
  </si>
  <si>
    <t>viz dopl. příloha č. 2</t>
  </si>
  <si>
    <t>DP Podpora výchovy, vzdělávání a zájmových aktivit - viz doplňující příloha č. 4</t>
  </si>
  <si>
    <t>viz dopl. příloha č. 4</t>
  </si>
  <si>
    <t>Mládežnický sport - viz doplňující příloha č. 3</t>
  </si>
  <si>
    <t>viz dopl. příloha č. 3</t>
  </si>
  <si>
    <t>ZŠ a MŠ F-M, El. Krásnohorské 2254 - na  provoz MŠ Lískovecká</t>
  </si>
  <si>
    <t>MŠ Beruška - na provoz</t>
  </si>
  <si>
    <t>MŠ Beruška - ÚZ 33063</t>
  </si>
  <si>
    <t>MŠ Beruška – ÚZ 13014</t>
  </si>
  <si>
    <t>1.9.2020 - 30.6.2021</t>
  </si>
  <si>
    <t>MŠ Pohádka - na provoz</t>
  </si>
  <si>
    <t>MŠ Pohádka - ÚZ 33063</t>
  </si>
  <si>
    <t>MŠ Pohádka – ÚZ 13014</t>
  </si>
  <si>
    <t>ZŠ a MŠ Naděje, F-M, Škarabelova 562 - na provoz MŠ K Hájku</t>
  </si>
  <si>
    <t>MŠ J. Myslivečka - na provoz</t>
  </si>
  <si>
    <t>MŠ J. Myslivečka - ÚZ 33063</t>
  </si>
  <si>
    <t>MŠ J. Myslivečka – ÚZ 13014</t>
  </si>
  <si>
    <t>MŠ Mateřídouška - na provoz</t>
  </si>
  <si>
    <t>MŠ Mateřídouška - ÚZ 33063</t>
  </si>
  <si>
    <t>MŠ Mateřídouška – ÚZ 13014</t>
  </si>
  <si>
    <t>ZŠ a MŠ F-M, Chlebovice - na provoz MŠ Chlebovice</t>
  </si>
  <si>
    <t>ZŠ a MŠ F-M, J. Čapka 2555 - na provoz MŠ Slezská 770</t>
  </si>
  <si>
    <t>ZŠ a MŠ F-M, J. Čapka 2555 - na provoz MŠ Slezská 2011</t>
  </si>
  <si>
    <t>ZŠ a MŠ F-M, Skalice - na provoz MŠ Skalice</t>
  </si>
  <si>
    <t>MŠ Sněženka - na provoz</t>
  </si>
  <si>
    <t>MŠ Sněženka - ÚZ 33063</t>
  </si>
  <si>
    <t>ZŠ a MŠ F-M, Lískovec - na provoz MŠ Lískovec</t>
  </si>
  <si>
    <t>MŠ Anenská - na provoz</t>
  </si>
  <si>
    <t>MŠ Anenská – ÚZ 13014</t>
  </si>
  <si>
    <t>ZŠ F-M, národního umělce P. Bezruče, tř. TGM 454 - na provoz</t>
  </si>
  <si>
    <t>ZŠ a MŠ F-M, J. Čapka 2555 - na provoz</t>
  </si>
  <si>
    <t>ZŠ a MŠ F-M, J. Čapka 2555 - ÚZ 33063</t>
  </si>
  <si>
    <t xml:space="preserve">ZŠ a MŠ Naděje, F-M, Škarabelova 562 - na provoz ZŠ </t>
  </si>
  <si>
    <t>ZŠ F-M, Komenského 402 - na provoz</t>
  </si>
  <si>
    <t xml:space="preserve">ZŠ a MŠ F-M, El. Krásnohorské 2254 - na provoz </t>
  </si>
  <si>
    <t>ZŠ a MŠ F-M, El. Krásnohorské 2254 - ÚZ 33063</t>
  </si>
  <si>
    <t>1.10.2020 - 30.9.2022</t>
  </si>
  <si>
    <t>ZŠ a MŠ F-M, El. Krásnohorské 2254 – ÚZ 13014</t>
  </si>
  <si>
    <t>ZŠ F-M, Pionýrů 400 - na provoz</t>
  </si>
  <si>
    <t>ZŠ F-M, 1. máje 1700 - na provoz</t>
  </si>
  <si>
    <t>ZŠ F-M, Československé armády 570 - na provoz</t>
  </si>
  <si>
    <t>ZŠ F-M, Československé armády 570 - ÚZ 33063</t>
  </si>
  <si>
    <t>1.11.2020 - 30.10.2022</t>
  </si>
  <si>
    <t>ZŠ a MŠ F-M, Lískovec - na provoz ZŠ Lískovec</t>
  </si>
  <si>
    <t>ZŠ a MŠ F-M, Lískovec - ÚZ 33063</t>
  </si>
  <si>
    <t>1.2.2021 - 31.1.2023</t>
  </si>
  <si>
    <t>ZŠ a MŠ F-M, Chlebovice - na provoz ZŠ Chlebovice</t>
  </si>
  <si>
    <t>ZŠ a MŠ F-M, Chlebovice - ÚZ 33063</t>
  </si>
  <si>
    <t>ZŠ F-M, J. z Poděbrad 3109 - na provoz</t>
  </si>
  <si>
    <t>ZŠ F-M, J. z Poděbrad 3109 – ÚZ 13014</t>
  </si>
  <si>
    <t>ZŠ F-M, J. z Poděbrad 3109 - ÚZ 00333</t>
  </si>
  <si>
    <t>1.9.2020 - 31.8.2021</t>
  </si>
  <si>
    <t>ZŠ a MŠ F-M, Skalice - na provoz ZŠ Skalice</t>
  </si>
  <si>
    <t>Středisko volného času Klíč - na provoz</t>
  </si>
  <si>
    <t>Středisko volného času Klíč - ÚZ 00133</t>
  </si>
  <si>
    <t>Středisko volného času Klíč - ÚZ 00332</t>
  </si>
  <si>
    <t>Městská knihovna Frýdek-Místek - na provoz</t>
  </si>
  <si>
    <t>Městská knihovna Frýdek-Místek - ÚZ 00345</t>
  </si>
  <si>
    <t>Městská knihovna Frýdek-Místek - ÚZ 34053</t>
  </si>
  <si>
    <t>Národní dům Frýdek-Místek - na provoz</t>
  </si>
  <si>
    <t>Národní dům Frýdek-Místek - nákup sálových židlí a stolů</t>
  </si>
  <si>
    <t>Základní umělecká škola Frýdek-Místek - na provoz</t>
  </si>
  <si>
    <t xml:space="preserve">GOODWILL v. o. š. - Seniorská akademie </t>
  </si>
  <si>
    <t>1.1.2020 - 31.1.2021</t>
  </si>
  <si>
    <t>Big BLAST!Band z.s.</t>
  </si>
  <si>
    <t>Společnost pro symfonickou a komorní hudbu ve Frýdku-Místku - na činnost</t>
  </si>
  <si>
    <t>Společnost pro dechovou hudbu ve Frýdku-Místku - na činnost</t>
  </si>
  <si>
    <t>Dětský folklorní soubor Ostravička, z.s. - na činnost</t>
  </si>
  <si>
    <t>Dětský folklorní soubor Ostravička, z.s. - na MFF</t>
  </si>
  <si>
    <t>1.1.2020 - 30.9.2020</t>
  </si>
  <si>
    <t>Soubor lidových písní a tanců Ostravica, z. s. - na činnost</t>
  </si>
  <si>
    <t>Folklorní soubor Ondrášek z. s. - na činnost</t>
  </si>
  <si>
    <t>ČS včelařů, z. s., základní organizace Frýdek-Místek - na provoz Domu včelařů (muzeum)</t>
  </si>
  <si>
    <t>POD SVÍCNEM z. s. (Sweetsen fest)</t>
  </si>
  <si>
    <t>Svatováclavský hudební festival z. s.</t>
  </si>
  <si>
    <t>Šuba Duba Band - na činnost</t>
  </si>
  <si>
    <t>Rosenfeld z. s. (první veřejný malířský ateliér)</t>
  </si>
  <si>
    <t>Pavla Walková - DKW (Muzikantské žně)</t>
  </si>
  <si>
    <t>Zdeněk Tofel (MF Souznění)</t>
  </si>
  <si>
    <t>1.1.2020 - 28.12.2020</t>
  </si>
  <si>
    <t>Love Production s. r. o. (koncerty v klubu Stoun)</t>
  </si>
  <si>
    <t>Evolution Brothers s. r. o. (FM City Fest)</t>
  </si>
  <si>
    <t>Evolution Brothers s. r. o. (FM City Fest - přípravné práce)</t>
  </si>
  <si>
    <t>1.1.2020 - 10.12.2020</t>
  </si>
  <si>
    <t>Galerie Věž z.s.</t>
  </si>
  <si>
    <t>Židovská obec v Ostravě - na opravy židovského hřbitova</t>
  </si>
  <si>
    <t>JO Tenisové tréninkové centrum z. s. - na tenisový turnaj žen</t>
  </si>
  <si>
    <t>Lašský sportovní klub Frýdek-Místek, z. s. - na sportovní činnost mládeže v r. 2020</t>
  </si>
  <si>
    <t>1.1.2020 - 3.12.2020</t>
  </si>
  <si>
    <t>TTV Sport Group CZ s. r. o. - na Světový pohár v silniční cyklistice</t>
  </si>
  <si>
    <t>HC Frýdek-Místek 2015, s. r. o. - družstvo dospělých</t>
  </si>
  <si>
    <t>1.1.2020 - 18.12.2020</t>
  </si>
  <si>
    <t>Handicap centrum - Sportovní olympiáda mentálně postižených</t>
  </si>
  <si>
    <t>1.1.2020 - 16.11.2020</t>
  </si>
  <si>
    <t>SKP Frýdek-Místek - provoz a činnost družstva mužů</t>
  </si>
  <si>
    <t>1.1.2020 - 16.12.2020</t>
  </si>
  <si>
    <t>TJ Sokol Frýdek-Místek - provoz a činnost družstva volejbalu</t>
  </si>
  <si>
    <t>BŠŠ z.s. - provoz a činnost družstva dospělých šachistů</t>
  </si>
  <si>
    <t>BŠŠ z.s. - Turnaj šachových nadějí</t>
  </si>
  <si>
    <t>1.1.2020 - 30.6.2020</t>
  </si>
  <si>
    <t>TJ Slezan - Hornická 10</t>
  </si>
  <si>
    <t>TJ Slezan - Hornická 10 - uznatelné náklady zrušené akce</t>
  </si>
  <si>
    <t>1.1.2020 - 30.10.2020</t>
  </si>
  <si>
    <t>TJ Slezan - na oplocení skateparku</t>
  </si>
  <si>
    <t>TJ Slezan - Májové závody</t>
  </si>
  <si>
    <t>BK Klasik - nájem nového baseballového hřiště</t>
  </si>
  <si>
    <t>SK K2, z. s. - sportovní festival Olešná</t>
  </si>
  <si>
    <t>SK K2, z. s. - sportovní festival Olešná - uznatelné náklady zrušené akce</t>
  </si>
  <si>
    <t>Krasomil, z.s. - na zajištění kulturních akcí ve F-M</t>
  </si>
  <si>
    <t xml:space="preserve">Green Volley Beskydy, z.s. - na provoz a činnost extraligového družstva volejbalistů </t>
  </si>
  <si>
    <t>1.1.2020 - 9.12.2020</t>
  </si>
  <si>
    <t>Nemocnice ve Frýdku-Místku, p.o. - na náklady spojené s proškolením žáků města na KPR</t>
  </si>
  <si>
    <t>Janáčkův máj, o. p. s. - na Mezinárodní hudební festival Leoše Janáčka "Festivalový podzim"</t>
  </si>
  <si>
    <t>Charita Frýdek-Místek - doučování žáků</t>
  </si>
  <si>
    <t>Ostatní neinvestiční výdaje odboru ŠKMaT</t>
  </si>
  <si>
    <t>ORJ 07-Odbor dopravy a silničního hospodářství</t>
  </si>
  <si>
    <t>Neinvestiční výdaje odboru dopravy a silničního hospodářství z transferů mimo příspěvku na dopravní obslužnost</t>
  </si>
  <si>
    <t>ČSAD Frýdek-Místek, a. s. - provoz MHD</t>
  </si>
  <si>
    <t>ČSAD Frýdek-Místek, a. s. - provoz PAD</t>
  </si>
  <si>
    <t>ČSAD Frýdek-Místek, a. s. - provoz MHD - ÚZ 161</t>
  </si>
  <si>
    <t>ČSAD Frýdek-Místek, a. s. - na provoz MHD - ÚZ 27009</t>
  </si>
  <si>
    <t>1.3.2020 - 30.4.2020</t>
  </si>
  <si>
    <t>MSK - dopravní obslužnost Česko-Těšínsko</t>
  </si>
  <si>
    <t>MSK - dopravní obslužnost Frýdlantsko</t>
  </si>
  <si>
    <t>MSK - dopravní obslužnost Frýdecko-Místecko</t>
  </si>
  <si>
    <t>Ostatní neinvestiční výdaje odboru dopravy a silničního hospodářství</t>
  </si>
  <si>
    <t>ORJ 09-Odbor životního prostředí a zemědělství</t>
  </si>
  <si>
    <t>Neinvestiční výdaje odboru životního prostředí a zemědělství z transferů</t>
  </si>
  <si>
    <t>DP Podpora aktivit vedoucích ke zlepšení životního prostředí - viz doplňující příloha č. 5</t>
  </si>
  <si>
    <t>viz dopl. příloha č. 5</t>
  </si>
  <si>
    <t>Program Podpora výsadby dřevin - viz doplňující příloha č. 14</t>
  </si>
  <si>
    <t>viz dopl. příloha č. 14</t>
  </si>
  <si>
    <t xml:space="preserve">Sdružení vlastníků obecních a soukromých lesů v ČR </t>
  </si>
  <si>
    <t>Spolek pro Faunapark - neinvestiční příspěvek</t>
  </si>
  <si>
    <t xml:space="preserve">Neposedné tlapky, z. s. </t>
  </si>
  <si>
    <t>Ostatní neinvestiční výdaje odboru životního prostředí a zemědělství</t>
  </si>
  <si>
    <t>ORJ 10-Odbor sociální péče</t>
  </si>
  <si>
    <t>Neinvestiční výdaje odboru sociální péče z transferů</t>
  </si>
  <si>
    <t>Ostatní neinvestiční výdaje odboru sociální péče</t>
  </si>
  <si>
    <t>ORJ 11-Odbor sociálních služeb</t>
  </si>
  <si>
    <t>Neinvestiční výdaje odboru sociálních služeb z transferů</t>
  </si>
  <si>
    <t>DP Podpora a rozvoj sociálních služeb ve městě - viz doplňující příloha č. 9</t>
  </si>
  <si>
    <t>viz dopl. příloha č. 9</t>
  </si>
  <si>
    <t>DP Podpora projektů v oblasti zdravotnictví - viz doplňující příloha č. 10</t>
  </si>
  <si>
    <t>viz dopl. příloha č. 10</t>
  </si>
  <si>
    <t>DP Podpora a rozvoj ostatních aktivit navazujících na sociální služby - viz doplňující příloha č. 11</t>
  </si>
  <si>
    <t>viz dopl. příloha č. 11</t>
  </si>
  <si>
    <r>
      <t xml:space="preserve">Hospic Frýdek-Místek, p. o. 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Hospicem Frýdek-Místek, p. o. - č. smlouvy 03146/2015/SOC)</t>
    </r>
  </si>
  <si>
    <t>Hospic Frýdek-Místek, p. o. - přechod na DVB-T2</t>
  </si>
  <si>
    <t>1.9.2019 - 15.4.2020</t>
  </si>
  <si>
    <t>Hospic Frýdek-Místek, p. o. - ÚZ 00201</t>
  </si>
  <si>
    <t>Hospic Frýdek-Místek, p. o. - ÚZ 13305</t>
  </si>
  <si>
    <t>Hospic Frýdek-Místek, p. o. - ÚZ 13351</t>
  </si>
  <si>
    <t>13.3.2020 - 31.12.2020</t>
  </si>
  <si>
    <t>Hospic Frýdek-Místek, p. o. - ÚZ 35025</t>
  </si>
  <si>
    <t>Jesle Frýdek-Místek, p. o. - na provoz</t>
  </si>
  <si>
    <t>Středisko sociálních služeb Frýdlant n. Ostravicí</t>
  </si>
  <si>
    <t>Charita Frýdek-Místek - dofinancování Dobrovolnického centra</t>
  </si>
  <si>
    <t>Charita Frýdek-Místek - dofinancování pečovatelské služby</t>
  </si>
  <si>
    <r>
      <t xml:space="preserve">Domov pro seniory Frýdek-Místek, p. o.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Domovem pro seniory, p. o. - č. smlouvy 03147/2015/SOC)</t>
    </r>
  </si>
  <si>
    <t>Domov pro seniory Frýdek-Místek, p.o. - ÚZ 13305</t>
  </si>
  <si>
    <t>Domov pro seniory Frýdek-Místek, p. o. - ÚZ 13351</t>
  </si>
  <si>
    <t>Domov pro seniory Frýdek-Místek, p. o. - ÚZ 35024</t>
  </si>
  <si>
    <r>
      <t xml:space="preserve">Centrum pečovatelské služby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Centrem pečovatelské služby Frýdek-Místek, p. o. - č. smlouvy 03064/2015/SOC) </t>
    </r>
  </si>
  <si>
    <t>Centrum pečovatelské služby Frýdek-Místek, p.o. - ÚZ 00348</t>
  </si>
  <si>
    <t>Centrum pečovatelské služby Frýdek-Místek, p.o.-ÚZ 13305</t>
  </si>
  <si>
    <t>Centrum pečovatelské služby Frýdek-Místek, p. o. - ÚZ 13351</t>
  </si>
  <si>
    <r>
      <t xml:space="preserve">Penzion pro seniory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Penzionem pro seniory, p. o. - č. smlouvy 03172/2015/SOC) </t>
    </r>
  </si>
  <si>
    <t>Penzion pro seniory Frýdek-Místek, p.o. - ÚZ 13305</t>
  </si>
  <si>
    <t>Penzion pro seniory Frýdek-Místek, p. o. - ÚZ 13351</t>
  </si>
  <si>
    <t>Penzion pro seniory Frýdek-Místek, p. o. - ÚZ 35024</t>
  </si>
  <si>
    <r>
      <t xml:space="preserve">ŽIRAFA-Integrované centrum Frýdek-Místek, p. o.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organizací ŽIRAFA-Integrované centrum Frýdek-Místek, p. o. - č. smlouvy 03060/2015/SOC)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</si>
  <si>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ŽIRAFA - Integrované centrum Frýdek-Místek, p.o. - ÚZ 13305</t>
  </si>
  <si>
    <t>ŽIRAFA - Integrované centrum Frýdek-Místek, p.o. - ÚZ 13351</t>
  </si>
  <si>
    <t>Asociace poskytovatelů sociálních služeb ČR</t>
  </si>
  <si>
    <t>Slezská diakonie - Dny proti chudobě</t>
  </si>
  <si>
    <t>Slezská diakonie - Azylový dům pro matky s dětmi - středisko SÁRA F-M</t>
  </si>
  <si>
    <t>Slezská diakonie - výdejna potravin</t>
  </si>
  <si>
    <t>Slezská diakonie - BETHEL - nízkoprahové denní centrum</t>
  </si>
  <si>
    <t>MEDELA-péče o seniory, o. p. s.</t>
  </si>
  <si>
    <t>Armáda spásy - Domov Přístav Frýdek-Místek</t>
  </si>
  <si>
    <t>Závazek MSK - Fond sociálních služeb</t>
  </si>
  <si>
    <t>Armáda spásy v ČR - noclehárna pro muže Ostrava</t>
  </si>
  <si>
    <t>Armáda spásy v ČR, z. s. - náklady spojené s administrativou  sociálního bydlení</t>
  </si>
  <si>
    <t>Společně o. p. s. Brno - SeniorPoint</t>
  </si>
  <si>
    <t>Krizové centrum Ostrava</t>
  </si>
  <si>
    <t>Cesta bez bariér</t>
  </si>
  <si>
    <r>
      <t xml:space="preserve">NZDM Klub Kosťa a Klub Prostor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statutárním městem Frýdek-Místek, č. smlouvy 03250/2015/SOC)</t>
    </r>
  </si>
  <si>
    <t>NZDM Klub Semafor (přistoupení ke Smlouvě o závazku veřejné služby a vyrovnávací platbě za jeho výkon uzavřené mezi MSK a statutárním městem Frýdek-Místek, č. smlouvy 03250/2015/SOC)</t>
  </si>
  <si>
    <t>Handicap centrum Škola života Frýdek-Místek, o. p. s. - na úhradu provozních nákladů denního stacionáře</t>
  </si>
  <si>
    <t>Centrum nové naděje z.ú. - fokusní skupiny</t>
  </si>
  <si>
    <t>Centrum nové naděje z.ú. - svépomocné skupiny</t>
  </si>
  <si>
    <t>Nadační fond Pavla Novotného - dobrovolníci ve F-M</t>
  </si>
  <si>
    <t>Podané ruce, z. s. - projekt "Konference 20 let canisterapie"</t>
  </si>
  <si>
    <t>Senioři ČR, MO FM, z.s. - provoz CAS</t>
  </si>
  <si>
    <t>Senioři ČR, z.s., ZO Frýdek-Místek - zážitkové zájezdy pro seniory</t>
  </si>
  <si>
    <t>Linie radosti, z. s. - na aktiviy pro hendikepované sportovce ve F-M</t>
  </si>
  <si>
    <t>Náš svět, p.o., Pržno</t>
  </si>
  <si>
    <t>Nemocnice ve Frýdku-Místku, p. o. - Beskydské ortopedické dny</t>
  </si>
  <si>
    <t>Oblastní spolek Českého červeného kříže Frýdek-Místek - Kurz Moderní ošetřovatelství v praxi</t>
  </si>
  <si>
    <t>Ostatní neinvestiční výdaje odboru sociálních služeb</t>
  </si>
  <si>
    <t>ORJ 12-Investiční odbor</t>
  </si>
  <si>
    <t>Neinvestiční výdaje investičního odboru z transferů</t>
  </si>
  <si>
    <t>Ostatní neinvestiční výdaje investičního odboru</t>
  </si>
  <si>
    <t>ORJ 13-Odbor územního rozvoje a stavebního řádu</t>
  </si>
  <si>
    <t>Neinvestiční výdaje odboru územního rozvoje a stavebního řádu z transferů</t>
  </si>
  <si>
    <t>DP Regenerace objektů s historickou nebo historizující fasádou na území města Frýdek-Místek - viz doplňující příloha č. 8</t>
  </si>
  <si>
    <t>viz dopl. příloha č. 8</t>
  </si>
  <si>
    <t>DP Regenerace města Frýdku-Místku - viz doplňující příloha č. 7</t>
  </si>
  <si>
    <t>viz dopl. příloha č. 7</t>
  </si>
  <si>
    <t xml:space="preserve">Turistické informační centrum - na provoz </t>
  </si>
  <si>
    <t>Turistické informační centrum - rezerva na mzdy a zákonné odvody</t>
  </si>
  <si>
    <t>Turistické informační centrum - FM plný chutí a Beskydské rekordy</t>
  </si>
  <si>
    <t>Turistické informační centrum - ÚZ 00680</t>
  </si>
  <si>
    <t>Turistické informační centrum - ÚZ 00700</t>
  </si>
  <si>
    <t>Destinační management turistické oblasti Beskydy-Valašsko, o. p. s. - příspěvek do fondu cestovního ruchu</t>
  </si>
  <si>
    <t xml:space="preserve">Sdružení Region Beskydy - neinvestiční příspěvek </t>
  </si>
  <si>
    <t>1.1.2020 - 30.6.2021</t>
  </si>
  <si>
    <t>Sdružení pro rozvoj Moravskoslezského kraje - členský příspěvek</t>
  </si>
  <si>
    <t>Asociace měst pro cyklisty - členský příspěvek</t>
  </si>
  <si>
    <t>Sdružení historických sídel Čech, Moravy a Slezska - členský příspěvek</t>
  </si>
  <si>
    <t>Dobrovolný svazek obcí Olešná - členský příspěvek</t>
  </si>
  <si>
    <t>Asociace pro urbanismus - členský příspěvek</t>
  </si>
  <si>
    <t>Svaz měst a obcí ČR - členský příspěvek</t>
  </si>
  <si>
    <t>Partnerství pro městskou mobilitu - členský příspěvek</t>
  </si>
  <si>
    <t>Rezerva na Program DARUJ F≈M</t>
  </si>
  <si>
    <t>Zachování a obnova kulturních památek: Mgr. Michal Merta a Mgr. Leda Mertová - obnova městského domu č. p. 47, Zámecké náměstí, Frýdek-Místek - ÚZ 34054</t>
  </si>
  <si>
    <t>Zachování a obnova kulturních památek: Moravskoslezský kraj - obnova zámku č. p. 1264, Frýdek-Místek - ÚZ 34054</t>
  </si>
  <si>
    <t>Ostatní neinvestiční výdaje odboru územního rozvoje a stavebního řádu</t>
  </si>
  <si>
    <t>ORJ 16-Městská policie</t>
  </si>
  <si>
    <t>Neinvestiční výdaje Městské policie z transferů</t>
  </si>
  <si>
    <t>Ostatní neinvestiční výdaje Městské policie</t>
  </si>
  <si>
    <t>ORJ 17-Odbor informačních technologií</t>
  </si>
  <si>
    <t>Neinvestiční výdaje odboru informačních technologií z transferů</t>
  </si>
  <si>
    <t>Ostatní neinvestiční výdaje odboru informačních technologií</t>
  </si>
  <si>
    <t>ORJ 18-Odbor bezpečnostních rizik a prevence kriminality</t>
  </si>
  <si>
    <t>Neinvestiční výdaje odboru bezpečnostních rizik a prevence kriminality z transferů</t>
  </si>
  <si>
    <t>DP Prevence kriminality - viz doplňující příloha č. 6</t>
  </si>
  <si>
    <t>viz dopl. příloha č. 6</t>
  </si>
  <si>
    <t>Ostatní neinvestiční výdaje odboru bezpečnostních rizik a prevence kriminality</t>
  </si>
  <si>
    <t>Běžné výdaje celkem (třída 5)</t>
  </si>
  <si>
    <t>Kapitálové výdaje (třída 6)</t>
  </si>
  <si>
    <t>Folklorní soubor Ondrášek - investiční transfer na nákup hudebního nástroje - heligonky</t>
  </si>
  <si>
    <t>Pobeskydský aviatický klub z.s. Frýdek-Místek - investiční transfer na nákup radiostanice s rozsahem 8,33 kHz, stabilní (na stůl) pro letiště Místek</t>
  </si>
  <si>
    <t>SH ČMS - Sbor dobrovolných hasičů Frýdek - investiční transfer na realizaci kryté dřevěné pergoly s prosklenou vitrínou, pro vytvořeční Hasičského muzea</t>
  </si>
  <si>
    <t>1.1.2020 - 7.12.2020</t>
  </si>
  <si>
    <t>SH ČMS - Sbor dobrovolných hasičů Frýdek - na pořízení slavnostního praporu</t>
  </si>
  <si>
    <t>Římskokatolická farnost Frýdek- na prováděcí projektovou dokumentaci krypty v Bazilice minor ve          F-M</t>
  </si>
  <si>
    <t>1.7.2020 - 31.12.2020</t>
  </si>
  <si>
    <t>Ostatní kapitálové výdaje odboru kancelář primátora</t>
  </si>
  <si>
    <t>ORJ 02-Odbor vnitřních věcí</t>
  </si>
  <si>
    <t>Kapitálové výdaje odboru vnitřních věcí z transferů</t>
  </si>
  <si>
    <t>Výdaje na investiční akce</t>
  </si>
  <si>
    <t>Kapitálové výdaje hrazené ze sociálního fondu</t>
  </si>
  <si>
    <t>Ostatní kapitálové výdaje odboru vnitřních věcí</t>
  </si>
  <si>
    <t>Rezerva na investiční akce</t>
  </si>
  <si>
    <t>Rezerva na požadavky Osadního výboru Chlebovice</t>
  </si>
  <si>
    <t>Rezerva na požadavky Osadního výboru Lískovec</t>
  </si>
  <si>
    <t>Rezerva na požadavky Osadního výboru Zelinkovice-Lysůvky</t>
  </si>
  <si>
    <t>Rezerva na požadavky Osadního výboru Skalice</t>
  </si>
  <si>
    <t>Rezerva na požadavky Osadního výboru Panské Nové Dvory</t>
  </si>
  <si>
    <t>Ostatní kapitálové výdaje finančního odboru</t>
  </si>
  <si>
    <t>Kapitálové výdaje hrazené z FRB</t>
  </si>
  <si>
    <t>Kapitálové výdaje hrazené z Fondu pomoci občanům dotčeným výstavbou komunikace R/48</t>
  </si>
  <si>
    <t>Ostatní kapitálové výdaje odboru správy obecního majetku</t>
  </si>
  <si>
    <t>Ostatní kapitálové výdaje živnostenského úřadu</t>
  </si>
  <si>
    <t>Kapitálové výdaje odboru ŠKMaT z transferů</t>
  </si>
  <si>
    <t>MŠ Pohádka - investiční transfer na vybudování multifunkční plochy - s vyúčtováním</t>
  </si>
  <si>
    <t>ZŠ a MŠ F-M, Lískovec - investiční transfer - klimatizace - s vyúčtováním</t>
  </si>
  <si>
    <t>ZŠ F-M, národního umělce P. Bezruče, tř. TGM 454 - investiční transfer na realizaci akce "Vstup pro ŠD"</t>
  </si>
  <si>
    <t>Basketpoint Frýdek-Místek, z. s. - investiční transfer na výstavbu basketbalové haly u ZŠ F-M, El. Krásnohorské 2254</t>
  </si>
  <si>
    <t>1.1.2019 - 31.12.2021</t>
  </si>
  <si>
    <t>Městská knihovna Frýdek-Místek - ÚZ 34544</t>
  </si>
  <si>
    <t>Ostatní kapitálové výdaje odboru ŠKMaT</t>
  </si>
  <si>
    <t>Kapitálové výdaje odboru dopravy a silničního hospodářství z transferů</t>
  </si>
  <si>
    <t>Obec Dobrá - investiční transfer na rekonstrukci mostu přes řeku Morávku</t>
  </si>
  <si>
    <t>17.9.2020 - 31.12.2022</t>
  </si>
  <si>
    <t>Ostatní kapitálové výdaje odboru dopravy a silničního hospodářství</t>
  </si>
  <si>
    <t>Kapitálové výdaje odboru životního prostředí a zemědělství z transferů</t>
  </si>
  <si>
    <t>Investiční transfery společenstvím vlastníků jednotek BD v Lískovci - odvádění odpadních vod BD v Lískovci</t>
  </si>
  <si>
    <t>Ostatní investiční transfery obyvatelstvu BD v Lískovci - odvádění odpadních vod BD v Lískovci</t>
  </si>
  <si>
    <t>Ostatní kapitálové výdaje odboru životního prostředí a zemědělství</t>
  </si>
  <si>
    <t>Kapitálové výdaje odboru sociální péče z transferů</t>
  </si>
  <si>
    <t>Ostatní kapitálové výdaje odboru sociální péče</t>
  </si>
  <si>
    <t>Kapitálové výdaje odboru sociálních služeb z transferů</t>
  </si>
  <si>
    <t>Domov pro seniory Frýdek-Místek, p. o. - ÚZ 00359</t>
  </si>
  <si>
    <t>1.3.2020 - 31.12.2020</t>
  </si>
  <si>
    <t>Nemocnie ve Frýdku-Místku, p. o. - finanční dar na pořízení 10 ks monitorů životních funkcí, vč. souvisejícího příslušenství a centrály</t>
  </si>
  <si>
    <t>Nemocnice ve Frýdku-Místku, p. o. - finanční dar na pořízení 20 ks elektrických polohovacích lůžek pro nově budovaný infekční pavilón</t>
  </si>
  <si>
    <t>Nemocnice ve Frýdku-Místku, p. o. - Smlouva o spolupráci - investiční transfer na nákup sanitky</t>
  </si>
  <si>
    <t>Ostatní kapitálové výdaje odboru sociálních služeb</t>
  </si>
  <si>
    <t>Kapitálové výdaje investičního odboru z transferů</t>
  </si>
  <si>
    <t>Rezerva na kanalizace</t>
  </si>
  <si>
    <t>Ostatní kapitálové výdaje investičního odboru</t>
  </si>
  <si>
    <t>Kapitálové výdaje odboru územního rozvoje a stavebního řádu z transferů</t>
  </si>
  <si>
    <t>DP Pořízení hybridních automobilů na rok 2020 - viz doplňující příloha č. 12</t>
  </si>
  <si>
    <t>viz dopl. příloha č. 12</t>
  </si>
  <si>
    <t>DP Pořízení hybridních automobilů na rok 2019 - vyplaceno v roce 2020 - viz doplňující příloha č. 13</t>
  </si>
  <si>
    <t>viz dopl. příloha č. 13</t>
  </si>
  <si>
    <t>Finanční dar na veřejnou sbírku "Daruj F≈M - Nové varhany pro kostel sv. Cyrila a Metoděje v Chlebovicích"</t>
  </si>
  <si>
    <t>Finanční dar na veřejnou sbírku "Daruj F≈M - Workoutové hřiště a zábavně-relaxační zázemí pro veřejnost u chaty Prašivá"</t>
  </si>
  <si>
    <t>Rezerva na spolufinancování dotací</t>
  </si>
  <si>
    <t>Ostatní kapitálové výdaje odboru územního rozvoje a stavebního řádu</t>
  </si>
  <si>
    <t>Kapitálové výdaje Městské policie z transferů</t>
  </si>
  <si>
    <t>Kapitálové výdaje odboru informačních technologií z transferů</t>
  </si>
  <si>
    <t>Kapitálové výdaje odboru bezpečnostních rizik a prevence kriminality z transferů</t>
  </si>
  <si>
    <t>Záchranný hasičský sbor Moravskoslezského kraje - investiční transfer</t>
  </si>
  <si>
    <t>Kapitálové výdaje celkem (třída 6)</t>
  </si>
  <si>
    <t>Výdaje celkem (třída 5 - 6)</t>
  </si>
  <si>
    <t>Financování - výdaje (třída 8)</t>
  </si>
  <si>
    <t>8115 - Sociální fond</t>
  </si>
  <si>
    <t>8115 - Fond rozvoje bydlení</t>
  </si>
  <si>
    <t>8115 - Fond pomoci občanům dotčených výstavbou komunikace R/48</t>
  </si>
  <si>
    <t>8115 - Fond pomoci občanům dotčeným živelními pohromami</t>
  </si>
  <si>
    <t>8115 - Fond obnovy vodovodů a kanalizací</t>
  </si>
  <si>
    <t xml:space="preserve">8115 - Účelový zůstatek k 31. 12. </t>
  </si>
  <si>
    <t>8115 - Neúčelový zůstatek k 31. 12.</t>
  </si>
  <si>
    <t>8124 - Splátky úvěrů</t>
  </si>
  <si>
    <t>Financování - výdaje celkem (třída 8)</t>
  </si>
  <si>
    <t>Celkem potřeby (výdaje + financování)</t>
  </si>
  <si>
    <t>Rozpočtové           opatření                                 RM č. 196 - 205                                (v tis. Kč)</t>
  </si>
  <si>
    <t>Rozpočet roku 2020           po 5. změně a RO RM                       č. 1 - 205                            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</si>
</sst>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right" vertical="center"/>
    </xf>
    <xf numFmtId="4" fontId="1" fillId="3" borderId="6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0" fillId="3" borderId="6" xfId="0" applyFill="1" applyBorder="1"/>
    <xf numFmtId="0" fontId="0" fillId="3" borderId="8" xfId="0" applyFill="1" applyBorder="1"/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0" xfId="0" applyNumberFormat="1" applyFont="1" applyBorder="1"/>
    <xf numFmtId="4" fontId="4" fillId="0" borderId="11" xfId="0" applyNumberFormat="1" applyFont="1" applyBorder="1"/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13" xfId="0" applyNumberFormat="1" applyFont="1" applyBorder="1"/>
    <xf numFmtId="4" fontId="4" fillId="0" borderId="14" xfId="0" applyNumberFormat="1" applyFont="1" applyBorder="1"/>
    <xf numFmtId="0" fontId="4" fillId="0" borderId="1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5" xfId="0" applyNumberFormat="1" applyFont="1" applyBorder="1"/>
    <xf numFmtId="4" fontId="4" fillId="0" borderId="16" xfId="0" applyNumberFormat="1" applyFont="1" applyBorder="1"/>
    <xf numFmtId="4" fontId="4" fillId="0" borderId="17" xfId="0" applyNumberFormat="1" applyFont="1" applyBorder="1"/>
    <xf numFmtId="4" fontId="4" fillId="0" borderId="18" xfId="0" applyNumberFormat="1" applyFont="1" applyBorder="1"/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right" vertical="center"/>
    </xf>
    <xf numFmtId="4" fontId="5" fillId="3" borderId="6" xfId="0" applyNumberFormat="1" applyFont="1" applyFill="1" applyBorder="1" applyAlignment="1">
      <alignment horizontal="right" vertical="center"/>
    </xf>
    <xf numFmtId="4" fontId="5" fillId="3" borderId="8" xfId="0" applyNumberFormat="1" applyFont="1" applyFill="1" applyBorder="1" applyAlignment="1">
      <alignment horizontal="right" vertical="center"/>
    </xf>
    <xf numFmtId="4" fontId="5" fillId="3" borderId="6" xfId="0" applyNumberFormat="1" applyFont="1" applyFill="1" applyBorder="1"/>
    <xf numFmtId="4" fontId="5" fillId="3" borderId="8" xfId="0" applyNumberFormat="1" applyFont="1" applyFill="1" applyBorder="1"/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0" fillId="0" borderId="18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0" fillId="0" borderId="18" xfId="0" applyBorder="1"/>
    <xf numFmtId="0" fontId="0" fillId="0" borderId="17" xfId="0" applyBorder="1"/>
    <xf numFmtId="0" fontId="1" fillId="4" borderId="7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right" vertical="center"/>
    </xf>
    <xf numFmtId="4" fontId="4" fillId="4" borderId="6" xfId="0" applyNumberFormat="1" applyFont="1" applyFill="1" applyBorder="1" applyAlignment="1">
      <alignment horizontal="right" vertical="center"/>
    </xf>
    <xf numFmtId="4" fontId="4" fillId="4" borderId="8" xfId="0" applyNumberFormat="1" applyFont="1" applyFill="1" applyBorder="1" applyAlignment="1">
      <alignment horizontal="right" vertical="center"/>
    </xf>
    <xf numFmtId="4" fontId="0" fillId="4" borderId="6" xfId="0" applyNumberFormat="1" applyFill="1" applyBorder="1" applyAlignment="1">
      <alignment vertical="center"/>
    </xf>
    <xf numFmtId="4" fontId="0" fillId="4" borderId="8" xfId="0" applyNumberFormat="1" applyFill="1" applyBorder="1" applyAlignment="1">
      <alignment vertical="center"/>
    </xf>
    <xf numFmtId="0" fontId="0" fillId="4" borderId="6" xfId="0" applyFill="1" applyBorder="1"/>
    <xf numFmtId="0" fontId="0" fillId="4" borderId="8" xfId="0" applyFill="1" applyBorder="1"/>
    <xf numFmtId="4" fontId="4" fillId="4" borderId="8" xfId="0" applyNumberFormat="1" applyFont="1" applyFill="1" applyBorder="1"/>
    <xf numFmtId="4" fontId="4" fillId="4" borderId="6" xfId="0" applyNumberFormat="1" applyFont="1" applyFill="1" applyBorder="1"/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3" xfId="0" applyNumberFormat="1" applyFont="1" applyBorder="1"/>
    <xf numFmtId="4" fontId="6" fillId="0" borderId="14" xfId="0" applyNumberFormat="1" applyFont="1" applyBorder="1"/>
    <xf numFmtId="4" fontId="6" fillId="0" borderId="11" xfId="0" applyNumberFormat="1" applyFont="1" applyBorder="1"/>
    <xf numFmtId="4" fontId="6" fillId="0" borderId="10" xfId="0" applyNumberFormat="1" applyFont="1" applyBorder="1"/>
    <xf numFmtId="4" fontId="4" fillId="0" borderId="14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1" fillId="4" borderId="6" xfId="0" applyFont="1" applyFill="1" applyBorder="1" applyAlignment="1">
      <alignment horizontal="right" vertical="center"/>
    </xf>
    <xf numFmtId="4" fontId="1" fillId="4" borderId="6" xfId="0" applyNumberFormat="1" applyFont="1" applyFill="1" applyBorder="1" applyAlignment="1">
      <alignment horizontal="right" vertical="center"/>
    </xf>
    <xf numFmtId="4" fontId="1" fillId="4" borderId="8" xfId="0" applyNumberFormat="1" applyFont="1" applyFill="1" applyBorder="1" applyAlignment="1">
      <alignment horizontal="right" vertical="center"/>
    </xf>
    <xf numFmtId="4" fontId="1" fillId="4" borderId="6" xfId="0" applyNumberFormat="1" applyFont="1" applyFill="1" applyBorder="1"/>
    <xf numFmtId="4" fontId="1" fillId="4" borderId="8" xfId="0" applyNumberFormat="1" applyFont="1" applyFill="1" applyBorder="1"/>
    <xf numFmtId="4" fontId="7" fillId="4" borderId="8" xfId="0" applyNumberFormat="1" applyFont="1" applyFill="1" applyBorder="1"/>
    <xf numFmtId="4" fontId="7" fillId="4" borderId="6" xfId="0" applyNumberFormat="1" applyFont="1" applyFill="1" applyBorder="1"/>
    <xf numFmtId="0" fontId="5" fillId="5" borderId="7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right" vertical="center"/>
    </xf>
    <xf numFmtId="4" fontId="5" fillId="5" borderId="6" xfId="0" applyNumberFormat="1" applyFont="1" applyFill="1" applyBorder="1" applyAlignment="1">
      <alignment horizontal="right" vertical="center"/>
    </xf>
    <xf numFmtId="4" fontId="5" fillId="5" borderId="8" xfId="0" applyNumberFormat="1" applyFont="1" applyFill="1" applyBorder="1" applyAlignment="1">
      <alignment horizontal="right" vertical="center"/>
    </xf>
    <xf numFmtId="4" fontId="5" fillId="5" borderId="6" xfId="0" applyNumberFormat="1" applyFont="1" applyFill="1" applyBorder="1"/>
    <xf numFmtId="4" fontId="5" fillId="5" borderId="8" xfId="0" applyNumberFormat="1" applyFont="1" applyFill="1" applyBorder="1"/>
    <xf numFmtId="4" fontId="4" fillId="0" borderId="18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/>
    <xf numFmtId="0" fontId="1" fillId="6" borderId="7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right" vertical="center"/>
    </xf>
    <xf numFmtId="4" fontId="4" fillId="6" borderId="6" xfId="0" applyNumberFormat="1" applyFont="1" applyFill="1" applyBorder="1" applyAlignment="1">
      <alignment horizontal="right" vertical="center"/>
    </xf>
    <xf numFmtId="4" fontId="1" fillId="6" borderId="6" xfId="0" applyNumberFormat="1" applyFont="1" applyFill="1" applyBorder="1" applyAlignment="1">
      <alignment horizontal="right" vertical="center"/>
    </xf>
    <xf numFmtId="4" fontId="1" fillId="6" borderId="8" xfId="0" applyNumberFormat="1" applyFont="1" applyFill="1" applyBorder="1" applyAlignment="1">
      <alignment horizontal="right" vertical="center"/>
    </xf>
    <xf numFmtId="4" fontId="4" fillId="6" borderId="8" xfId="0" applyNumberFormat="1" applyFont="1" applyFill="1" applyBorder="1" applyAlignment="1">
      <alignment horizontal="right" vertical="center"/>
    </xf>
    <xf numFmtId="4" fontId="4" fillId="6" borderId="6" xfId="0" applyNumberFormat="1" applyFont="1" applyFill="1" applyBorder="1" applyAlignment="1">
      <alignment vertical="center"/>
    </xf>
    <xf numFmtId="4" fontId="4" fillId="6" borderId="8" xfId="0" applyNumberFormat="1" applyFont="1" applyFill="1" applyBorder="1" applyAlignment="1">
      <alignment vertical="center"/>
    </xf>
    <xf numFmtId="4" fontId="0" fillId="6" borderId="8" xfId="0" applyNumberFormat="1" applyFill="1" applyBorder="1" applyAlignment="1">
      <alignment vertical="center"/>
    </xf>
    <xf numFmtId="4" fontId="0" fillId="6" borderId="6" xfId="0" applyNumberFormat="1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6" xfId="0" applyFill="1" applyBorder="1"/>
    <xf numFmtId="0" fontId="0" fillId="6" borderId="8" xfId="0" applyFill="1" applyBorder="1"/>
    <xf numFmtId="4" fontId="4" fillId="6" borderId="8" xfId="0" applyNumberFormat="1" applyFont="1" applyFill="1" applyBorder="1"/>
    <xf numFmtId="4" fontId="4" fillId="6" borderId="6" xfId="0" applyNumberFormat="1" applyFont="1" applyFill="1" applyBorder="1"/>
    <xf numFmtId="0" fontId="7" fillId="7" borderId="7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right" vertical="center"/>
    </xf>
    <xf numFmtId="4" fontId="7" fillId="7" borderId="6" xfId="0" applyNumberFormat="1" applyFont="1" applyFill="1" applyBorder="1" applyAlignment="1">
      <alignment horizontal="right" vertical="center"/>
    </xf>
    <xf numFmtId="4" fontId="7" fillId="7" borderId="8" xfId="0" applyNumberFormat="1" applyFont="1" applyFill="1" applyBorder="1" applyAlignment="1">
      <alignment horizontal="right" vertical="center"/>
    </xf>
    <xf numFmtId="4" fontId="1" fillId="7" borderId="8" xfId="0" applyNumberFormat="1" applyFont="1" applyFill="1" applyBorder="1" applyAlignment="1">
      <alignment horizontal="right" vertical="center"/>
    </xf>
    <xf numFmtId="4" fontId="1" fillId="7" borderId="6" xfId="0" applyNumberFormat="1" applyFont="1" applyFill="1" applyBorder="1"/>
    <xf numFmtId="4" fontId="1" fillId="7" borderId="8" xfId="0" applyNumberFormat="1" applyFont="1" applyFill="1" applyBorder="1"/>
    <xf numFmtId="0" fontId="4" fillId="0" borderId="24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/>
    <xf numFmtId="4" fontId="0" fillId="0" borderId="11" xfId="0" applyNumberFormat="1" applyBorder="1"/>
    <xf numFmtId="0" fontId="0" fillId="0" borderId="10" xfId="0" applyBorder="1"/>
    <xf numFmtId="0" fontId="0" fillId="0" borderId="11" xfId="0" applyBorder="1"/>
    <xf numFmtId="0" fontId="4" fillId="0" borderId="10" xfId="0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 vertical="center"/>
    </xf>
    <xf numFmtId="0" fontId="4" fillId="8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right" vertical="center"/>
    </xf>
    <xf numFmtId="0" fontId="1" fillId="7" borderId="30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7" fillId="7" borderId="6" xfId="0" applyFont="1" applyFill="1" applyBorder="1" applyAlignment="1">
      <alignment horizontal="center" vertical="center"/>
    </xf>
    <xf numFmtId="4" fontId="1" fillId="7" borderId="8" xfId="0" applyNumberFormat="1" applyFont="1" applyFill="1" applyBorder="1" applyAlignment="1">
      <alignment vertical="center"/>
    </xf>
    <xf numFmtId="4" fontId="1" fillId="7" borderId="32" xfId="0" applyNumberFormat="1" applyFont="1" applyFill="1" applyBorder="1"/>
    <xf numFmtId="4" fontId="1" fillId="7" borderId="7" xfId="0" applyNumberFormat="1" applyFont="1" applyFill="1" applyBorder="1"/>
    <xf numFmtId="4" fontId="1" fillId="7" borderId="6" xfId="0" applyNumberFormat="1" applyFont="1" applyFill="1" applyBorder="1" applyAlignment="1">
      <alignment vertical="center"/>
    </xf>
    <xf numFmtId="4" fontId="4" fillId="0" borderId="27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8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4" fontId="1" fillId="7" borderId="33" xfId="0" applyNumberFormat="1" applyFont="1" applyFill="1" applyBorder="1"/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18" xfId="0" applyFont="1" applyBorder="1"/>
    <xf numFmtId="0" fontId="8" fillId="0" borderId="10" xfId="0" applyFont="1" applyBorder="1"/>
    <xf numFmtId="0" fontId="8" fillId="0" borderId="13" xfId="0" applyFont="1" applyBorder="1"/>
    <xf numFmtId="4" fontId="9" fillId="0" borderId="13" xfId="0" applyNumberFormat="1" applyFont="1" applyBorder="1" applyAlignment="1">
      <alignment horizontal="center" vertical="center"/>
    </xf>
    <xf numFmtId="0" fontId="4" fillId="8" borderId="13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9" xfId="0" applyFont="1" applyFill="1" applyBorder="1" applyAlignment="1">
      <alignment vertical="center" wrapText="1"/>
    </xf>
    <xf numFmtId="4" fontId="4" fillId="8" borderId="13" xfId="0" applyNumberFormat="1" applyFont="1" applyFill="1" applyBorder="1"/>
    <xf numFmtId="0" fontId="4" fillId="0" borderId="5" xfId="0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1" fillId="7" borderId="8" xfId="0" applyNumberFormat="1" applyFont="1" applyFill="1" applyBorder="1" applyAlignment="1">
      <alignment horizontal="right"/>
    </xf>
    <xf numFmtId="4" fontId="7" fillId="7" borderId="6" xfId="0" applyNumberFormat="1" applyFont="1" applyFill="1" applyBorder="1" applyAlignment="1">
      <alignment vertical="center"/>
    </xf>
    <xf numFmtId="0" fontId="4" fillId="0" borderId="10" xfId="0" applyFont="1" applyBorder="1"/>
    <xf numFmtId="0" fontId="4" fillId="0" borderId="11" xfId="0" applyFont="1" applyBorder="1"/>
    <xf numFmtId="0" fontId="0" fillId="0" borderId="13" xfId="0" applyBorder="1" applyAlignment="1">
      <alignment horizontal="center" vertical="center"/>
    </xf>
    <xf numFmtId="4" fontId="7" fillId="7" borderId="8" xfId="0" applyNumberFormat="1" applyFont="1" applyFill="1" applyBorder="1" applyAlignment="1">
      <alignment vertical="center"/>
    </xf>
    <xf numFmtId="4" fontId="1" fillId="7" borderId="32" xfId="0" applyNumberFormat="1" applyFont="1" applyFill="1" applyBorder="1" applyAlignment="1">
      <alignment vertical="center"/>
    </xf>
    <xf numFmtId="4" fontId="1" fillId="7" borderId="34" xfId="0" applyNumberFormat="1" applyFont="1" applyFill="1" applyBorder="1"/>
    <xf numFmtId="0" fontId="4" fillId="8" borderId="12" xfId="0" applyFont="1" applyFill="1" applyBorder="1" applyAlignment="1">
      <alignment vertical="center" wrapText="1"/>
    </xf>
    <xf numFmtId="4" fontId="4" fillId="8" borderId="13" xfId="0" applyNumberFormat="1" applyFont="1" applyFill="1" applyBorder="1" applyAlignment="1">
      <alignment vertical="center"/>
    </xf>
    <xf numFmtId="4" fontId="4" fillId="8" borderId="14" xfId="0" applyNumberFormat="1" applyFont="1" applyFill="1" applyBorder="1" applyAlignment="1">
      <alignment vertical="center"/>
    </xf>
    <xf numFmtId="4" fontId="4" fillId="8" borderId="14" xfId="0" applyNumberFormat="1" applyFont="1" applyFill="1" applyBorder="1"/>
    <xf numFmtId="0" fontId="4" fillId="8" borderId="5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4" fontId="4" fillId="8" borderId="10" xfId="0" applyNumberFormat="1" applyFont="1" applyFill="1" applyBorder="1"/>
    <xf numFmtId="0" fontId="1" fillId="6" borderId="7" xfId="0" applyFont="1" applyFill="1" applyBorder="1" applyAlignment="1">
      <alignment vertical="center"/>
    </xf>
    <xf numFmtId="0" fontId="1" fillId="6" borderId="6" xfId="0" applyFont="1" applyFill="1" applyBorder="1" applyAlignment="1">
      <alignment horizontal="center" vertical="center"/>
    </xf>
    <xf numFmtId="4" fontId="1" fillId="6" borderId="6" xfId="0" applyNumberFormat="1" applyFont="1" applyFill="1" applyBorder="1" applyAlignment="1">
      <alignment vertical="center"/>
    </xf>
    <xf numFmtId="4" fontId="1" fillId="6" borderId="8" xfId="0" applyNumberFormat="1" applyFont="1" applyFill="1" applyBorder="1" applyAlignment="1">
      <alignment vertical="center"/>
    </xf>
    <xf numFmtId="4" fontId="1" fillId="6" borderId="6" xfId="0" applyNumberFormat="1" applyFont="1" applyFill="1" applyBorder="1"/>
    <xf numFmtId="4" fontId="1" fillId="6" borderId="8" xfId="0" applyNumberFormat="1" applyFont="1" applyFill="1" applyBorder="1"/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/>
    <xf numFmtId="4" fontId="1" fillId="0" borderId="17" xfId="0" applyNumberFormat="1" applyFont="1" applyBorder="1"/>
    <xf numFmtId="4" fontId="0" fillId="0" borderId="18" xfId="0" applyNumberFormat="1" applyBorder="1"/>
    <xf numFmtId="4" fontId="0" fillId="0" borderId="17" xfId="0" applyNumberFormat="1" applyBorder="1"/>
    <xf numFmtId="0" fontId="7" fillId="6" borderId="6" xfId="0" applyFont="1" applyFill="1" applyBorder="1" applyAlignment="1">
      <alignment horizontal="center" vertical="center"/>
    </xf>
    <xf numFmtId="4" fontId="7" fillId="6" borderId="6" xfId="0" applyNumberFormat="1" applyFont="1" applyFill="1" applyBorder="1" applyAlignment="1">
      <alignment vertical="center"/>
    </xf>
    <xf numFmtId="4" fontId="7" fillId="6" borderId="8" xfId="0" applyNumberFormat="1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4" fontId="4" fillId="0" borderId="31" xfId="0" applyNumberFormat="1" applyFont="1" applyBorder="1" applyAlignment="1">
      <alignment vertical="center"/>
    </xf>
    <xf numFmtId="4" fontId="4" fillId="0" borderId="36" xfId="0" applyNumberFormat="1" applyFont="1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4" fillId="0" borderId="31" xfId="0" applyNumberFormat="1" applyFont="1" applyBorder="1"/>
    <xf numFmtId="4" fontId="4" fillId="0" borderId="36" xfId="0" applyNumberFormat="1" applyFont="1" applyBorder="1"/>
    <xf numFmtId="4" fontId="4" fillId="0" borderId="13" xfId="0" applyNumberFormat="1" applyFont="1" applyBorder="1" applyAlignment="1">
      <alignment vertical="center" wrapText="1"/>
    </xf>
    <xf numFmtId="0" fontId="6" fillId="8" borderId="13" xfId="0" applyFont="1" applyFill="1" applyBorder="1" applyAlignment="1">
      <alignment horizontal="center"/>
    </xf>
    <xf numFmtId="4" fontId="1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2" fontId="4" fillId="0" borderId="13" xfId="0" applyNumberFormat="1" applyFont="1" applyBorder="1"/>
    <xf numFmtId="0" fontId="4" fillId="0" borderId="13" xfId="0" applyFont="1" applyBorder="1"/>
    <xf numFmtId="2" fontId="4" fillId="0" borderId="5" xfId="0" applyNumberFormat="1" applyFont="1" applyBorder="1"/>
    <xf numFmtId="0" fontId="4" fillId="0" borderId="13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0" fontId="4" fillId="0" borderId="13" xfId="0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 wrapText="1"/>
    </xf>
    <xf numFmtId="0" fontId="6" fillId="8" borderId="13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vertical="center" wrapText="1"/>
    </xf>
    <xf numFmtId="4" fontId="1" fillId="7" borderId="7" xfId="0" applyNumberFormat="1" applyFont="1" applyFill="1" applyBorder="1" applyAlignment="1">
      <alignment vertical="center"/>
    </xf>
    <xf numFmtId="4" fontId="1" fillId="6" borderId="8" xfId="0" applyNumberFormat="1" applyFont="1" applyFill="1" applyBorder="1" applyAlignment="1">
      <alignment horizontal="right"/>
    </xf>
    <xf numFmtId="0" fontId="5" fillId="6" borderId="7" xfId="0" applyFont="1" applyFill="1" applyBorder="1" applyAlignment="1">
      <alignment vertical="center"/>
    </xf>
    <xf numFmtId="0" fontId="5" fillId="6" borderId="6" xfId="0" applyFont="1" applyFill="1" applyBorder="1" applyAlignment="1">
      <alignment horizontal="center" vertical="center"/>
    </xf>
    <xf numFmtId="4" fontId="5" fillId="6" borderId="6" xfId="0" applyNumberFormat="1" applyFont="1" applyFill="1" applyBorder="1" applyAlignment="1">
      <alignment vertical="center"/>
    </xf>
    <xf numFmtId="4" fontId="5" fillId="6" borderId="8" xfId="0" applyNumberFormat="1" applyFont="1" applyFill="1" applyBorder="1" applyAlignment="1">
      <alignment vertical="center"/>
    </xf>
    <xf numFmtId="4" fontId="5" fillId="6" borderId="6" xfId="0" applyNumberFormat="1" applyFont="1" applyFill="1" applyBorder="1"/>
    <xf numFmtId="4" fontId="5" fillId="6" borderId="8" xfId="0" applyNumberFormat="1" applyFont="1" applyFill="1" applyBorder="1"/>
    <xf numFmtId="0" fontId="4" fillId="4" borderId="6" xfId="0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vertical="center"/>
    </xf>
    <xf numFmtId="4" fontId="4" fillId="4" borderId="8" xfId="0" applyNumberFormat="1" applyFont="1" applyFill="1" applyBorder="1" applyAlignment="1">
      <alignment vertical="center"/>
    </xf>
    <xf numFmtId="4" fontId="0" fillId="4" borderId="6" xfId="0" applyNumberFormat="1" applyFill="1" applyBorder="1"/>
    <xf numFmtId="4" fontId="0" fillId="4" borderId="8" xfId="0" applyNumberFormat="1" applyFill="1" applyBorder="1"/>
    <xf numFmtId="0" fontId="1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64"/>
  <sheetViews>
    <sheetView tabSelected="1" view="pageLayout" topLeftCell="A394" zoomScaleNormal="100" workbookViewId="0">
      <selection activeCell="A288" sqref="A288:AI288"/>
    </sheetView>
  </sheetViews>
  <sheetFormatPr defaultRowHeight="15" x14ac:dyDescent="0.25"/>
  <cols>
    <col min="1" max="1" width="42.7109375" customWidth="1"/>
    <col min="2" max="2" width="17.42578125" customWidth="1"/>
    <col min="3" max="3" width="13.140625" hidden="1" customWidth="1"/>
    <col min="4" max="4" width="12.7109375" hidden="1" customWidth="1"/>
    <col min="5" max="7" width="12.140625" hidden="1" customWidth="1"/>
    <col min="8" max="8" width="10" hidden="1" customWidth="1"/>
    <col min="9" max="9" width="7.7109375" hidden="1" customWidth="1"/>
    <col min="10" max="10" width="10" hidden="1" customWidth="1"/>
    <col min="11" max="11" width="12.85546875" hidden="1" customWidth="1"/>
    <col min="12" max="13" width="11.85546875" hidden="1" customWidth="1"/>
    <col min="14" max="14" width="13.140625" hidden="1" customWidth="1"/>
    <col min="15" max="15" width="12.7109375" hidden="1" customWidth="1"/>
    <col min="16" max="17" width="13.42578125" hidden="1" customWidth="1"/>
    <col min="18" max="18" width="0.42578125" hidden="1" customWidth="1"/>
    <col min="19" max="19" width="11.140625" hidden="1" customWidth="1"/>
    <col min="20" max="20" width="10.7109375" hidden="1" customWidth="1"/>
    <col min="21" max="21" width="0.42578125" hidden="1" customWidth="1"/>
    <col min="22" max="22" width="13.28515625" customWidth="1"/>
    <col min="23" max="24" width="13.5703125" hidden="1" customWidth="1"/>
    <col min="25" max="25" width="12.85546875" hidden="1" customWidth="1"/>
    <col min="26" max="26" width="14.42578125" hidden="1" customWidth="1"/>
    <col min="27" max="27" width="13.7109375" hidden="1" customWidth="1"/>
    <col min="28" max="28" width="13" hidden="1" customWidth="1"/>
    <col min="29" max="29" width="14.42578125" hidden="1" customWidth="1"/>
    <col min="30" max="30" width="13.28515625" hidden="1" customWidth="1"/>
    <col min="31" max="31" width="13.85546875" hidden="1" customWidth="1"/>
    <col min="32" max="32" width="15.28515625" customWidth="1"/>
    <col min="33" max="33" width="14.5703125" customWidth="1"/>
    <col min="34" max="34" width="12.42578125" customWidth="1"/>
    <col min="35" max="35" width="15.140625" customWidth="1"/>
  </cols>
  <sheetData>
    <row r="1" spans="1:35" ht="67.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2" t="s">
        <v>18</v>
      </c>
      <c r="T1" s="4" t="s">
        <v>19</v>
      </c>
      <c r="U1" s="3" t="s">
        <v>20</v>
      </c>
      <c r="V1" s="3" t="s">
        <v>21</v>
      </c>
      <c r="W1" s="2" t="s">
        <v>22</v>
      </c>
      <c r="X1" s="3" t="s">
        <v>23</v>
      </c>
      <c r="Y1" s="2" t="s">
        <v>24</v>
      </c>
      <c r="Z1" s="3" t="s">
        <v>25</v>
      </c>
      <c r="AA1" s="3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5" t="s">
        <v>32</v>
      </c>
      <c r="AH1" s="6" t="s">
        <v>428</v>
      </c>
      <c r="AI1" s="5" t="s">
        <v>429</v>
      </c>
    </row>
    <row r="2" spans="1:35" ht="15.75" customHeight="1" thickBot="1" x14ac:dyDescent="0.3">
      <c r="A2" s="7" t="s">
        <v>33</v>
      </c>
      <c r="B2" s="8" t="s">
        <v>34</v>
      </c>
      <c r="C2" s="8"/>
      <c r="D2" s="8" t="s">
        <v>35</v>
      </c>
      <c r="E2" s="9"/>
      <c r="F2" s="9"/>
      <c r="G2" s="9"/>
      <c r="H2" s="9"/>
      <c r="I2" s="9"/>
      <c r="J2" s="9"/>
      <c r="K2" s="9"/>
      <c r="L2" s="8"/>
      <c r="M2" s="8"/>
      <c r="N2" s="9" t="s">
        <v>36</v>
      </c>
      <c r="O2" s="9" t="s">
        <v>35</v>
      </c>
      <c r="P2" s="9" t="s">
        <v>36</v>
      </c>
      <c r="Q2" s="9" t="s">
        <v>37</v>
      </c>
      <c r="R2" s="9" t="s">
        <v>36</v>
      </c>
      <c r="S2" s="10" t="s">
        <v>37</v>
      </c>
      <c r="T2" s="11"/>
      <c r="U2" s="11" t="s">
        <v>36</v>
      </c>
      <c r="V2" s="12" t="s">
        <v>35</v>
      </c>
      <c r="W2" s="12" t="s">
        <v>36</v>
      </c>
      <c r="X2" s="13" t="s">
        <v>37</v>
      </c>
      <c r="Y2" s="12"/>
      <c r="Z2" s="13" t="s">
        <v>38</v>
      </c>
      <c r="AA2" s="13" t="s">
        <v>38</v>
      </c>
      <c r="AB2" s="13" t="s">
        <v>38</v>
      </c>
      <c r="AC2" s="13" t="s">
        <v>36</v>
      </c>
      <c r="AD2" s="12" t="s">
        <v>37</v>
      </c>
      <c r="AE2" s="12" t="s">
        <v>39</v>
      </c>
      <c r="AF2" s="12" t="s">
        <v>36</v>
      </c>
      <c r="AG2" s="12" t="s">
        <v>37</v>
      </c>
      <c r="AH2" s="12"/>
      <c r="AI2" s="12" t="s">
        <v>38</v>
      </c>
    </row>
    <row r="3" spans="1:35" ht="16.5" customHeight="1" thickBot="1" x14ac:dyDescent="0.3">
      <c r="A3" s="14" t="s">
        <v>40</v>
      </c>
      <c r="B3" s="15"/>
      <c r="C3" s="16"/>
      <c r="D3" s="16"/>
      <c r="E3" s="17"/>
      <c r="F3" s="17"/>
      <c r="G3" s="17"/>
      <c r="H3" s="18"/>
      <c r="I3" s="19"/>
      <c r="J3" s="19"/>
      <c r="K3" s="19"/>
      <c r="L3" s="18"/>
      <c r="M3" s="18"/>
      <c r="N3" s="19"/>
      <c r="O3" s="19"/>
      <c r="P3" s="19"/>
      <c r="Q3" s="19"/>
      <c r="R3" s="19"/>
      <c r="S3" s="18"/>
      <c r="T3" s="19"/>
      <c r="U3" s="19"/>
      <c r="V3" s="18"/>
      <c r="W3" s="18"/>
      <c r="X3" s="19"/>
      <c r="Y3" s="18"/>
      <c r="Z3" s="19"/>
      <c r="AA3" s="19"/>
      <c r="AB3" s="19"/>
      <c r="AC3" s="19"/>
      <c r="AD3" s="18"/>
      <c r="AE3" s="18"/>
      <c r="AF3" s="18"/>
      <c r="AG3" s="18"/>
      <c r="AH3" s="18"/>
      <c r="AI3" s="18"/>
    </row>
    <row r="4" spans="1:35" x14ac:dyDescent="0.25">
      <c r="A4" s="20" t="s">
        <v>41</v>
      </c>
      <c r="B4" s="21"/>
      <c r="C4" s="22">
        <v>840053.01</v>
      </c>
      <c r="D4" s="22">
        <v>862008</v>
      </c>
      <c r="E4" s="23">
        <v>0</v>
      </c>
      <c r="F4" s="23">
        <f>-4435.89</f>
        <v>-4435.8900000000003</v>
      </c>
      <c r="G4" s="23">
        <f>D4+E4+F4</f>
        <v>857572.11</v>
      </c>
      <c r="H4" s="24">
        <v>8647.58</v>
      </c>
      <c r="I4" s="25">
        <v>0</v>
      </c>
      <c r="J4" s="25">
        <v>0</v>
      </c>
      <c r="K4" s="25">
        <f>G4+H4+I4+J4</f>
        <v>866219.69</v>
      </c>
      <c r="L4" s="24">
        <v>0</v>
      </c>
      <c r="M4" s="24">
        <v>19501</v>
      </c>
      <c r="N4" s="25">
        <f>K4+L4+M4</f>
        <v>885720.69</v>
      </c>
      <c r="O4" s="25">
        <v>942199</v>
      </c>
      <c r="P4" s="24">
        <v>0</v>
      </c>
      <c r="Q4" s="25">
        <v>-1216</v>
      </c>
      <c r="R4" s="25">
        <f>O4+P4+Q4</f>
        <v>940983</v>
      </c>
      <c r="S4" s="26">
        <v>-590</v>
      </c>
      <c r="T4" s="27">
        <v>0</v>
      </c>
      <c r="U4" s="27">
        <f>SUM(R4:T4)</f>
        <v>940393</v>
      </c>
      <c r="V4" s="26">
        <v>951907</v>
      </c>
      <c r="W4" s="26">
        <f>-1216</f>
        <v>-1216</v>
      </c>
      <c r="X4" s="27">
        <v>0</v>
      </c>
      <c r="Y4" s="26">
        <v>0</v>
      </c>
      <c r="Z4" s="27">
        <f>SUM(V4:Y4)</f>
        <v>950691</v>
      </c>
      <c r="AA4" s="27">
        <f>-57000</f>
        <v>-57000</v>
      </c>
      <c r="AB4" s="27">
        <v>0</v>
      </c>
      <c r="AC4" s="27">
        <f>Z4+AA4+AB4</f>
        <v>893691</v>
      </c>
      <c r="AD4" s="26">
        <v>-97037.4</v>
      </c>
      <c r="AE4" s="26">
        <v>0</v>
      </c>
      <c r="AF4" s="26">
        <f>SUM(AC4:AE4)</f>
        <v>796653.6</v>
      </c>
      <c r="AG4" s="26">
        <f>9700+1+2885.5+100</f>
        <v>12686.5</v>
      </c>
      <c r="AH4" s="26">
        <v>0</v>
      </c>
      <c r="AI4" s="26">
        <f>SUM(AF4:AH4)</f>
        <v>809340.1</v>
      </c>
    </row>
    <row r="5" spans="1:35" x14ac:dyDescent="0.25">
      <c r="A5" s="28" t="s">
        <v>42</v>
      </c>
      <c r="B5" s="29"/>
      <c r="C5" s="30">
        <v>139520.46</v>
      </c>
      <c r="D5" s="30">
        <v>127559.5</v>
      </c>
      <c r="E5" s="31">
        <f>8.85+154+67.62</f>
        <v>230.47</v>
      </c>
      <c r="F5" s="31">
        <f>249.43</f>
        <v>249.43</v>
      </c>
      <c r="G5" s="23">
        <f>D5+E5+F5+82.5+21.1</f>
        <v>128143</v>
      </c>
      <c r="H5" s="32">
        <v>5761.32</v>
      </c>
      <c r="I5" s="33">
        <v>0</v>
      </c>
      <c r="J5" s="33">
        <f>55.2</f>
        <v>55.2</v>
      </c>
      <c r="K5" s="25">
        <f>G5+H5+I5+J5</f>
        <v>133959.52000000002</v>
      </c>
      <c r="L5" s="32">
        <v>44.86</v>
      </c>
      <c r="M5" s="32">
        <v>8995.6299999999992</v>
      </c>
      <c r="N5" s="33">
        <f>K5+L5+M5</f>
        <v>143000.01</v>
      </c>
      <c r="O5" s="33">
        <v>117067.5</v>
      </c>
      <c r="P5" s="32">
        <f>32.12+109+34+1.1+5.62+3.4</f>
        <v>185.24</v>
      </c>
      <c r="Q5" s="33">
        <v>329.78</v>
      </c>
      <c r="R5" s="33">
        <f>O5+P5+Q5+1+7.02+33.38+165.41</f>
        <v>117789.33000000002</v>
      </c>
      <c r="S5" s="34">
        <v>14465.51</v>
      </c>
      <c r="T5" s="35">
        <f>103.5</f>
        <v>103.5</v>
      </c>
      <c r="U5" s="35">
        <f>SUM(R5:T5)</f>
        <v>132358.34000000003</v>
      </c>
      <c r="V5" s="34">
        <v>124539.5</v>
      </c>
      <c r="W5" s="26">
        <f>200+188+1963+20+60.91+66</f>
        <v>2497.91</v>
      </c>
      <c r="X5" s="27">
        <v>0</v>
      </c>
      <c r="Y5" s="26">
        <f>16.4+5+32.57+30</f>
        <v>83.97</v>
      </c>
      <c r="Z5" s="27">
        <f t="shared" ref="Z5:Z19" si="0">SUM(V5:Y5)</f>
        <v>127121.38</v>
      </c>
      <c r="AA5" s="27">
        <f>8568.85</f>
        <v>8568.85</v>
      </c>
      <c r="AB5" s="27">
        <f>105.7+1.4+695.51</f>
        <v>802.61</v>
      </c>
      <c r="AC5" s="27">
        <f t="shared" ref="AC5:AC7" si="1">Z5+AA5+AB5</f>
        <v>136492.84</v>
      </c>
      <c r="AD5" s="26">
        <v>2951.46</v>
      </c>
      <c r="AE5" s="26">
        <f>12+0.67</f>
        <v>12.67</v>
      </c>
      <c r="AF5" s="26">
        <f>SUM(AC5:AE5)</f>
        <v>139456.97</v>
      </c>
      <c r="AG5" s="34">
        <f>580+624+851+193.85+233+1600+367.5+130</f>
        <v>4579.3500000000004</v>
      </c>
      <c r="AH5" s="34">
        <v>0</v>
      </c>
      <c r="AI5" s="26">
        <f>SUM(AF5:AH5)</f>
        <v>144036.32</v>
      </c>
    </row>
    <row r="6" spans="1:35" x14ac:dyDescent="0.25">
      <c r="A6" s="28" t="s">
        <v>43</v>
      </c>
      <c r="B6" s="29"/>
      <c r="C6" s="30">
        <v>3372</v>
      </c>
      <c r="D6" s="30">
        <v>2000</v>
      </c>
      <c r="E6" s="31">
        <v>0</v>
      </c>
      <c r="F6" s="31">
        <f>0</f>
        <v>0</v>
      </c>
      <c r="G6" s="23">
        <f>D6+E6+F6</f>
        <v>2000</v>
      </c>
      <c r="H6" s="32">
        <v>1686.11</v>
      </c>
      <c r="I6" s="33">
        <v>0</v>
      </c>
      <c r="J6" s="33">
        <v>0</v>
      </c>
      <c r="K6" s="25">
        <f>G6+H6+I6+J6</f>
        <v>3686.1099999999997</v>
      </c>
      <c r="L6" s="32">
        <v>0</v>
      </c>
      <c r="M6" s="32">
        <v>118</v>
      </c>
      <c r="N6" s="33">
        <f>K6+L6+M6</f>
        <v>3804.1099999999997</v>
      </c>
      <c r="O6" s="33">
        <v>1000</v>
      </c>
      <c r="P6" s="32">
        <v>0</v>
      </c>
      <c r="Q6" s="33">
        <v>0</v>
      </c>
      <c r="R6" s="33">
        <f>O6+P6+Q6</f>
        <v>1000</v>
      </c>
      <c r="S6" s="34">
        <v>553</v>
      </c>
      <c r="T6" s="35">
        <v>0</v>
      </c>
      <c r="U6" s="35">
        <f>SUM(R6:T6)</f>
        <v>1553</v>
      </c>
      <c r="V6" s="34">
        <v>1000</v>
      </c>
      <c r="W6" s="26">
        <v>0</v>
      </c>
      <c r="X6" s="27">
        <v>0</v>
      </c>
      <c r="Y6" s="26">
        <v>0</v>
      </c>
      <c r="Z6" s="27">
        <f t="shared" si="0"/>
        <v>1000</v>
      </c>
      <c r="AA6" s="27">
        <v>0</v>
      </c>
      <c r="AB6" s="27">
        <v>0</v>
      </c>
      <c r="AC6" s="27">
        <f t="shared" si="1"/>
        <v>1000</v>
      </c>
      <c r="AD6" s="26">
        <f>1234.6+500</f>
        <v>1734.6</v>
      </c>
      <c r="AE6" s="26">
        <v>0</v>
      </c>
      <c r="AF6" s="26">
        <f>SUM(AC6:AE6)</f>
        <v>2734.6</v>
      </c>
      <c r="AG6" s="34">
        <f>1550</f>
        <v>1550</v>
      </c>
      <c r="AH6" s="34">
        <v>0</v>
      </c>
      <c r="AI6" s="26">
        <f>SUM(AF6:AH6)</f>
        <v>4284.6000000000004</v>
      </c>
    </row>
    <row r="7" spans="1:35" ht="15.75" thickBot="1" x14ac:dyDescent="0.3">
      <c r="A7" s="36" t="s">
        <v>44</v>
      </c>
      <c r="B7" s="37"/>
      <c r="C7" s="38">
        <v>122494.07</v>
      </c>
      <c r="D7" s="38">
        <v>91218.3</v>
      </c>
      <c r="E7" s="39">
        <f>1844.47+1920+1779.4+946.79+168.95+7174.06</f>
        <v>13833.670000000002</v>
      </c>
      <c r="F7" s="39">
        <f>-6130</f>
        <v>-6130</v>
      </c>
      <c r="G7" s="40">
        <f>D7+E7+F7+31532+4827.1</f>
        <v>135281.07</v>
      </c>
      <c r="H7" s="41">
        <v>359.24</v>
      </c>
      <c r="I7" s="42">
        <v>0</v>
      </c>
      <c r="J7" s="42">
        <f>1681</f>
        <v>1681</v>
      </c>
      <c r="K7" s="43">
        <f>G7+H7+I7+J7</f>
        <v>137321.31</v>
      </c>
      <c r="L7" s="41">
        <v>470.97</v>
      </c>
      <c r="M7" s="41">
        <v>314.68</v>
      </c>
      <c r="N7" s="42">
        <f>K7+L7+M7</f>
        <v>138106.96</v>
      </c>
      <c r="O7" s="42">
        <f>140607.89-7762.5</f>
        <v>132845.39000000001</v>
      </c>
      <c r="P7" s="43">
        <f>5260.46+5945.26-92+783.4+3283.33+18916.93-3.4</f>
        <v>34093.980000000003</v>
      </c>
      <c r="Q7" s="43">
        <v>205.1</v>
      </c>
      <c r="R7" s="42">
        <f>O7+P7+Q7+30270.5+70+5064.97+157.7</f>
        <v>202707.64000000004</v>
      </c>
      <c r="S7" s="44">
        <v>0</v>
      </c>
      <c r="T7" s="45">
        <f>15889.23</f>
        <v>15889.23</v>
      </c>
      <c r="U7" s="46">
        <f>SUM(R7:T7)</f>
        <v>218596.87000000005</v>
      </c>
      <c r="V7" s="44">
        <v>219174.8</v>
      </c>
      <c r="W7" s="47">
        <f>7379+1632+2-128+1244</f>
        <v>10129</v>
      </c>
      <c r="X7" s="46">
        <v>0</v>
      </c>
      <c r="Y7" s="47">
        <f>1163+8020+4208.41+44265+146</f>
        <v>57802.41</v>
      </c>
      <c r="Z7" s="46">
        <f t="shared" si="0"/>
        <v>287106.20999999996</v>
      </c>
      <c r="AA7" s="46">
        <v>0</v>
      </c>
      <c r="AB7" s="46">
        <f>176-99.8+1375.1+0+48-21.01+2694+510.23+8985.59+10147.4</f>
        <v>23815.510000000002</v>
      </c>
      <c r="AC7" s="46">
        <f t="shared" si="1"/>
        <v>310921.71999999997</v>
      </c>
      <c r="AD7" s="47">
        <v>27798.25</v>
      </c>
      <c r="AE7" s="47">
        <f>1220.99+6141.41+3134.68+89.59+567-21.02+807.74</f>
        <v>11940.39</v>
      </c>
      <c r="AF7" s="47">
        <f>SUM(AC7:AE7)+50+2650.9+2056.55</f>
        <v>355417.81</v>
      </c>
      <c r="AG7" s="44">
        <f>4720.24+5525+414</f>
        <v>10659.24</v>
      </c>
      <c r="AH7" s="44">
        <f>4755+45.4-6.5-467.91+0.01-568-497+5.16</f>
        <v>3266.16</v>
      </c>
      <c r="AI7" s="26">
        <f t="shared" ref="AI7" si="2">SUM(AF7:AH7)</f>
        <v>369343.20999999996</v>
      </c>
    </row>
    <row r="8" spans="1:35" ht="16.5" thickBot="1" x14ac:dyDescent="0.3">
      <c r="A8" s="48" t="s">
        <v>45</v>
      </c>
      <c r="B8" s="49"/>
      <c r="C8" s="50">
        <f t="shared" ref="C8:U8" si="3">SUM(C4:C7)</f>
        <v>1105439.54</v>
      </c>
      <c r="D8" s="50">
        <f t="shared" si="3"/>
        <v>1082785.8</v>
      </c>
      <c r="E8" s="50">
        <f t="shared" si="3"/>
        <v>14064.140000000001</v>
      </c>
      <c r="F8" s="50">
        <f t="shared" si="3"/>
        <v>-10316.459999999999</v>
      </c>
      <c r="G8" s="51">
        <f t="shared" si="3"/>
        <v>1122996.18</v>
      </c>
      <c r="H8" s="51">
        <f t="shared" si="3"/>
        <v>16454.25</v>
      </c>
      <c r="I8" s="51">
        <f t="shared" si="3"/>
        <v>0</v>
      </c>
      <c r="J8" s="51">
        <f t="shared" si="3"/>
        <v>1736.2</v>
      </c>
      <c r="K8" s="51">
        <f t="shared" si="3"/>
        <v>1141186.6299999999</v>
      </c>
      <c r="L8" s="51">
        <f t="shared" si="3"/>
        <v>515.83000000000004</v>
      </c>
      <c r="M8" s="51">
        <f t="shared" si="3"/>
        <v>28929.309999999998</v>
      </c>
      <c r="N8" s="51">
        <f t="shared" si="3"/>
        <v>1170631.77</v>
      </c>
      <c r="O8" s="51">
        <f t="shared" si="3"/>
        <v>1193111.8900000001</v>
      </c>
      <c r="P8" s="51">
        <f t="shared" si="3"/>
        <v>34279.22</v>
      </c>
      <c r="Q8" s="51">
        <f t="shared" si="3"/>
        <v>-681.12</v>
      </c>
      <c r="R8" s="51">
        <f t="shared" si="3"/>
        <v>1262479.9700000002</v>
      </c>
      <c r="S8" s="52">
        <f t="shared" si="3"/>
        <v>14428.51</v>
      </c>
      <c r="T8" s="53">
        <f t="shared" si="3"/>
        <v>15992.73</v>
      </c>
      <c r="U8" s="53">
        <f t="shared" si="3"/>
        <v>1292901.2100000002</v>
      </c>
      <c r="V8" s="52">
        <f>SUM(V4:V7)</f>
        <v>1296621.3</v>
      </c>
      <c r="W8" s="52">
        <f>SUM(W4:W7)</f>
        <v>11410.91</v>
      </c>
      <c r="X8" s="53">
        <f>SUM(X4:X7)</f>
        <v>0</v>
      </c>
      <c r="Y8" s="52">
        <f>SUM(Y4:Y7)</f>
        <v>57886.380000000005</v>
      </c>
      <c r="Z8" s="53">
        <f t="shared" si="0"/>
        <v>1365918.5899999999</v>
      </c>
      <c r="AA8" s="53">
        <f t="shared" ref="AA8:AE8" si="4">SUM(AA4:AA7)</f>
        <v>-48431.15</v>
      </c>
      <c r="AB8" s="53">
        <f t="shared" si="4"/>
        <v>24618.120000000003</v>
      </c>
      <c r="AC8" s="53">
        <f t="shared" si="4"/>
        <v>1342105.56</v>
      </c>
      <c r="AD8" s="52">
        <f t="shared" si="4"/>
        <v>-64553.089999999982</v>
      </c>
      <c r="AE8" s="52">
        <f t="shared" si="4"/>
        <v>11953.06</v>
      </c>
      <c r="AF8" s="52">
        <f>SUM(AF4:AF7)</f>
        <v>1294262.98</v>
      </c>
      <c r="AG8" s="52">
        <f>SUM(AG4:AG7)</f>
        <v>29475.089999999997</v>
      </c>
      <c r="AH8" s="52">
        <f>SUM(AH4:AH7)</f>
        <v>3266.16</v>
      </c>
      <c r="AI8" s="52">
        <f>SUM(AF8:AH8)</f>
        <v>1327004.23</v>
      </c>
    </row>
    <row r="9" spans="1:35" ht="15.75" thickBot="1" x14ac:dyDescent="0.3">
      <c r="A9" s="54"/>
      <c r="B9" s="55"/>
      <c r="C9" s="56"/>
      <c r="D9" s="56"/>
      <c r="E9" s="40"/>
      <c r="F9" s="40"/>
      <c r="G9" s="40"/>
      <c r="H9" s="57"/>
      <c r="I9" s="58"/>
      <c r="J9" s="58"/>
      <c r="K9" s="58"/>
      <c r="L9" s="57"/>
      <c r="M9" s="57"/>
      <c r="N9" s="58"/>
      <c r="O9" s="58"/>
      <c r="P9" s="58"/>
      <c r="Q9" s="58"/>
      <c r="R9" s="58"/>
      <c r="S9" s="59"/>
      <c r="T9" s="60"/>
      <c r="U9" s="60"/>
      <c r="V9" s="59"/>
      <c r="W9" s="59"/>
      <c r="X9" s="60"/>
      <c r="Y9" s="59"/>
      <c r="Z9" s="46"/>
      <c r="AA9" s="46"/>
      <c r="AB9" s="46"/>
      <c r="AC9" s="46"/>
      <c r="AD9" s="47"/>
      <c r="AE9" s="47"/>
      <c r="AF9" s="47"/>
      <c r="AG9" s="47"/>
      <c r="AH9" s="47"/>
      <c r="AI9" s="47"/>
    </row>
    <row r="10" spans="1:35" ht="15.75" thickBot="1" x14ac:dyDescent="0.3">
      <c r="A10" s="61" t="s">
        <v>46</v>
      </c>
      <c r="B10" s="62"/>
      <c r="C10" s="63"/>
      <c r="D10" s="63"/>
      <c r="E10" s="64"/>
      <c r="F10" s="64"/>
      <c r="G10" s="64"/>
      <c r="H10" s="65"/>
      <c r="I10" s="66"/>
      <c r="J10" s="66"/>
      <c r="K10" s="66"/>
      <c r="L10" s="65"/>
      <c r="M10" s="65"/>
      <c r="N10" s="66"/>
      <c r="O10" s="66"/>
      <c r="P10" s="66"/>
      <c r="Q10" s="66"/>
      <c r="R10" s="66"/>
      <c r="S10" s="67"/>
      <c r="T10" s="68"/>
      <c r="U10" s="68"/>
      <c r="V10" s="67"/>
      <c r="W10" s="67"/>
      <c r="X10" s="68"/>
      <c r="Y10" s="67"/>
      <c r="Z10" s="69"/>
      <c r="AA10" s="69"/>
      <c r="AB10" s="69"/>
      <c r="AC10" s="69"/>
      <c r="AD10" s="70"/>
      <c r="AE10" s="70"/>
      <c r="AF10" s="70"/>
      <c r="AG10" s="70"/>
      <c r="AH10" s="70"/>
      <c r="AI10" s="70"/>
    </row>
    <row r="11" spans="1:35" x14ac:dyDescent="0.25">
      <c r="A11" s="20" t="s">
        <v>47</v>
      </c>
      <c r="B11" s="71"/>
      <c r="C11" s="72">
        <v>275348.55</v>
      </c>
      <c r="D11" s="72">
        <v>163074.38</v>
      </c>
      <c r="E11" s="72">
        <f>340.39+0.04</f>
        <v>340.43</v>
      </c>
      <c r="F11" s="73">
        <v>40855.29</v>
      </c>
      <c r="G11" s="74">
        <f t="shared" ref="G11:G18" si="5">D11+E11+F11</f>
        <v>204270.1</v>
      </c>
      <c r="H11" s="26">
        <v>0</v>
      </c>
      <c r="I11" s="27">
        <v>0</v>
      </c>
      <c r="J11" s="27">
        <v>0</v>
      </c>
      <c r="K11" s="27">
        <f>G11+H11+I11+J11</f>
        <v>204270.1</v>
      </c>
      <c r="L11" s="26">
        <v>0</v>
      </c>
      <c r="M11" s="26">
        <v>0</v>
      </c>
      <c r="N11" s="27">
        <f t="shared" ref="N11:N18" si="6">K11+L11+M11</f>
        <v>204270.1</v>
      </c>
      <c r="O11" s="27">
        <f>115610.72+40550</f>
        <v>156160.72</v>
      </c>
      <c r="P11" s="27">
        <v>594.82000000000005</v>
      </c>
      <c r="Q11" s="27">
        <v>54374.68</v>
      </c>
      <c r="R11" s="27">
        <f t="shared" ref="R11:R18" si="7">O11+P11+Q11</f>
        <v>211130.22</v>
      </c>
      <c r="S11" s="26">
        <v>0</v>
      </c>
      <c r="T11" s="27">
        <v>0</v>
      </c>
      <c r="U11" s="27">
        <f t="shared" ref="U11:U18" si="8">SUM(R11:T11)</f>
        <v>211130.22</v>
      </c>
      <c r="V11" s="26">
        <v>134956.35</v>
      </c>
      <c r="W11" s="26">
        <f>3.5+270.23+41867.01</f>
        <v>42140.740000000005</v>
      </c>
      <c r="X11" s="27">
        <v>0</v>
      </c>
      <c r="Y11" s="26">
        <v>0</v>
      </c>
      <c r="Z11" s="27">
        <f t="shared" si="0"/>
        <v>177097.09000000003</v>
      </c>
      <c r="AA11" s="27">
        <v>0</v>
      </c>
      <c r="AB11" s="27">
        <v>0</v>
      </c>
      <c r="AC11" s="27">
        <f>Z11+AA11+AB11</f>
        <v>177097.09000000003</v>
      </c>
      <c r="AD11" s="26">
        <v>0</v>
      </c>
      <c r="AE11" s="26">
        <v>0</v>
      </c>
      <c r="AF11" s="26">
        <f t="shared" ref="AF11:AF18" si="9">SUM(AC11:AE11)</f>
        <v>177097.09000000003</v>
      </c>
      <c r="AG11" s="26">
        <v>0</v>
      </c>
      <c r="AH11" s="26">
        <v>0</v>
      </c>
      <c r="AI11" s="26">
        <f>SUM(AF11:AH11)</f>
        <v>177097.09000000003</v>
      </c>
    </row>
    <row r="12" spans="1:35" x14ac:dyDescent="0.25">
      <c r="A12" s="28" t="s">
        <v>48</v>
      </c>
      <c r="B12" s="71"/>
      <c r="C12" s="72">
        <v>106900.96</v>
      </c>
      <c r="D12" s="72">
        <v>0</v>
      </c>
      <c r="E12" s="72">
        <v>0</v>
      </c>
      <c r="F12" s="73">
        <v>112327.99</v>
      </c>
      <c r="G12" s="74">
        <f t="shared" si="5"/>
        <v>112327.99</v>
      </c>
      <c r="H12" s="26">
        <v>0</v>
      </c>
      <c r="I12" s="27">
        <v>0</v>
      </c>
      <c r="J12" s="27">
        <v>0</v>
      </c>
      <c r="K12" s="27">
        <f t="shared" ref="K12:K18" si="10">G12+H12+I12+J12</f>
        <v>112327.99</v>
      </c>
      <c r="L12" s="26">
        <v>0</v>
      </c>
      <c r="M12" s="26">
        <v>0</v>
      </c>
      <c r="N12" s="27">
        <f t="shared" si="6"/>
        <v>112327.99</v>
      </c>
      <c r="O12" s="27">
        <f>11052.83+7762.5</f>
        <v>18815.330000000002</v>
      </c>
      <c r="P12" s="27">
        <v>0</v>
      </c>
      <c r="Q12" s="27">
        <v>74296.639999999999</v>
      </c>
      <c r="R12" s="27">
        <f t="shared" si="7"/>
        <v>93111.97</v>
      </c>
      <c r="S12" s="26">
        <v>0</v>
      </c>
      <c r="T12" s="27">
        <v>0</v>
      </c>
      <c r="U12" s="27">
        <f t="shared" si="8"/>
        <v>93111.97</v>
      </c>
      <c r="V12" s="26">
        <v>59391.99</v>
      </c>
      <c r="W12" s="26">
        <f>114459.29</f>
        <v>114459.29</v>
      </c>
      <c r="X12" s="27">
        <v>0</v>
      </c>
      <c r="Y12" s="26">
        <v>0</v>
      </c>
      <c r="Z12" s="27">
        <f t="shared" si="0"/>
        <v>173851.28</v>
      </c>
      <c r="AA12" s="27">
        <v>0</v>
      </c>
      <c r="AB12" s="27">
        <v>0</v>
      </c>
      <c r="AC12" s="27">
        <f t="shared" ref="AC12:AC74" si="11">Z12+AA12+AB12</f>
        <v>173851.28</v>
      </c>
      <c r="AD12" s="26">
        <v>0</v>
      </c>
      <c r="AE12" s="26">
        <v>0</v>
      </c>
      <c r="AF12" s="26">
        <f t="shared" si="9"/>
        <v>173851.28</v>
      </c>
      <c r="AG12" s="34">
        <v>0</v>
      </c>
      <c r="AH12" s="34">
        <v>0</v>
      </c>
      <c r="AI12" s="26">
        <f t="shared" ref="AI12:AI17" si="12">SUM(AF12:AH12)</f>
        <v>173851.28</v>
      </c>
    </row>
    <row r="13" spans="1:35" ht="15" customHeight="1" x14ac:dyDescent="0.25">
      <c r="A13" s="28" t="s">
        <v>49</v>
      </c>
      <c r="B13" s="75"/>
      <c r="C13" s="76">
        <v>1</v>
      </c>
      <c r="D13" s="76">
        <v>801</v>
      </c>
      <c r="E13" s="76">
        <v>0</v>
      </c>
      <c r="F13" s="77">
        <v>0</v>
      </c>
      <c r="G13" s="74">
        <f t="shared" si="5"/>
        <v>801</v>
      </c>
      <c r="H13" s="34">
        <v>-800</v>
      </c>
      <c r="I13" s="35">
        <v>0</v>
      </c>
      <c r="J13" s="35">
        <v>0</v>
      </c>
      <c r="K13" s="27">
        <f t="shared" si="10"/>
        <v>1</v>
      </c>
      <c r="L13" s="34">
        <v>0</v>
      </c>
      <c r="M13" s="34">
        <v>0</v>
      </c>
      <c r="N13" s="35">
        <f t="shared" si="6"/>
        <v>1</v>
      </c>
      <c r="O13" s="35">
        <v>801</v>
      </c>
      <c r="P13" s="27">
        <v>0</v>
      </c>
      <c r="Q13" s="27">
        <v>0</v>
      </c>
      <c r="R13" s="27">
        <f t="shared" si="7"/>
        <v>801</v>
      </c>
      <c r="S13" s="34">
        <v>-800</v>
      </c>
      <c r="T13" s="35">
        <v>0</v>
      </c>
      <c r="U13" s="27">
        <f t="shared" si="8"/>
        <v>1</v>
      </c>
      <c r="V13" s="34">
        <v>1401</v>
      </c>
      <c r="W13" s="34">
        <v>0</v>
      </c>
      <c r="X13" s="35">
        <v>0</v>
      </c>
      <c r="Y13" s="34">
        <v>0</v>
      </c>
      <c r="Z13" s="27">
        <f t="shared" si="0"/>
        <v>1401</v>
      </c>
      <c r="AA13" s="27">
        <f>-1400</f>
        <v>-1400</v>
      </c>
      <c r="AB13" s="27">
        <v>0</v>
      </c>
      <c r="AC13" s="27">
        <f t="shared" si="11"/>
        <v>1</v>
      </c>
      <c r="AD13" s="26">
        <v>0</v>
      </c>
      <c r="AE13" s="26">
        <v>0</v>
      </c>
      <c r="AF13" s="26">
        <f t="shared" si="9"/>
        <v>1</v>
      </c>
      <c r="AG13" s="34">
        <v>0</v>
      </c>
      <c r="AH13" s="34">
        <v>0</v>
      </c>
      <c r="AI13" s="26">
        <f>SUM(AF13:AH13)</f>
        <v>1</v>
      </c>
    </row>
    <row r="14" spans="1:35" ht="15" customHeight="1" x14ac:dyDescent="0.25">
      <c r="A14" s="78" t="s">
        <v>50</v>
      </c>
      <c r="B14" s="79"/>
      <c r="C14" s="80"/>
      <c r="D14" s="80"/>
      <c r="E14" s="80"/>
      <c r="F14" s="81"/>
      <c r="G14" s="82"/>
      <c r="H14" s="83"/>
      <c r="I14" s="84"/>
      <c r="J14" s="84"/>
      <c r="K14" s="85"/>
      <c r="L14" s="83"/>
      <c r="M14" s="83"/>
      <c r="N14" s="84"/>
      <c r="O14" s="84"/>
      <c r="P14" s="85"/>
      <c r="Q14" s="85"/>
      <c r="R14" s="85"/>
      <c r="S14" s="83"/>
      <c r="T14" s="84"/>
      <c r="U14" s="85"/>
      <c r="V14" s="83">
        <v>0</v>
      </c>
      <c r="W14" s="83"/>
      <c r="X14" s="84"/>
      <c r="Y14" s="83"/>
      <c r="Z14" s="85"/>
      <c r="AA14" s="85"/>
      <c r="AB14" s="85"/>
      <c r="AC14" s="85"/>
      <c r="AD14" s="86"/>
      <c r="AE14" s="86"/>
      <c r="AF14" s="86">
        <v>0</v>
      </c>
      <c r="AG14" s="83">
        <f>1490.98</f>
        <v>1490.98</v>
      </c>
      <c r="AH14" s="83">
        <v>0</v>
      </c>
      <c r="AI14" s="26">
        <f t="shared" si="12"/>
        <v>1490.98</v>
      </c>
    </row>
    <row r="15" spans="1:35" ht="15" customHeight="1" x14ac:dyDescent="0.25">
      <c r="A15" s="28" t="s">
        <v>51</v>
      </c>
      <c r="B15" s="75"/>
      <c r="C15" s="76">
        <v>5120</v>
      </c>
      <c r="D15" s="76">
        <v>6618</v>
      </c>
      <c r="E15" s="76">
        <v>0</v>
      </c>
      <c r="F15" s="77">
        <v>0</v>
      </c>
      <c r="G15" s="74">
        <f t="shared" si="5"/>
        <v>6618</v>
      </c>
      <c r="H15" s="34">
        <v>0</v>
      </c>
      <c r="I15" s="35">
        <v>0</v>
      </c>
      <c r="J15" s="35">
        <v>0</v>
      </c>
      <c r="K15" s="27">
        <f t="shared" si="10"/>
        <v>6618</v>
      </c>
      <c r="L15" s="34">
        <v>0</v>
      </c>
      <c r="M15" s="34">
        <v>0</v>
      </c>
      <c r="N15" s="35">
        <f t="shared" si="6"/>
        <v>6618</v>
      </c>
      <c r="O15" s="35">
        <v>8937</v>
      </c>
      <c r="P15" s="27">
        <v>0</v>
      </c>
      <c r="Q15" s="27">
        <v>325</v>
      </c>
      <c r="R15" s="27">
        <f t="shared" si="7"/>
        <v>9262</v>
      </c>
      <c r="S15" s="34">
        <v>70</v>
      </c>
      <c r="T15" s="35">
        <v>0</v>
      </c>
      <c r="U15" s="35">
        <f>SUM(R15:T15)</f>
        <v>9332</v>
      </c>
      <c r="V15" s="34">
        <v>9345</v>
      </c>
      <c r="W15" s="34">
        <v>0</v>
      </c>
      <c r="X15" s="35">
        <v>0</v>
      </c>
      <c r="Y15" s="34">
        <v>0</v>
      </c>
      <c r="Z15" s="27">
        <f t="shared" si="0"/>
        <v>9345</v>
      </c>
      <c r="AA15" s="27">
        <v>0</v>
      </c>
      <c r="AB15" s="27">
        <v>0</v>
      </c>
      <c r="AC15" s="27">
        <f t="shared" si="11"/>
        <v>9345</v>
      </c>
      <c r="AD15" s="26">
        <v>0</v>
      </c>
      <c r="AE15" s="26">
        <v>0</v>
      </c>
      <c r="AF15" s="26">
        <f>SUM(AC15:AE15)</f>
        <v>9345</v>
      </c>
      <c r="AG15" s="34">
        <v>0</v>
      </c>
      <c r="AH15" s="34">
        <v>0</v>
      </c>
      <c r="AI15" s="26">
        <f t="shared" si="12"/>
        <v>9345</v>
      </c>
    </row>
    <row r="16" spans="1:35" ht="30" customHeight="1" x14ac:dyDescent="0.25">
      <c r="A16" s="28" t="s">
        <v>52</v>
      </c>
      <c r="B16" s="75"/>
      <c r="C16" s="76">
        <v>2087.0500000000002</v>
      </c>
      <c r="D16" s="76">
        <v>1967.47</v>
      </c>
      <c r="E16" s="76">
        <v>0</v>
      </c>
      <c r="F16" s="77">
        <v>0</v>
      </c>
      <c r="G16" s="74">
        <f t="shared" si="5"/>
        <v>1967.47</v>
      </c>
      <c r="H16" s="34">
        <v>1.5</v>
      </c>
      <c r="I16" s="35">
        <v>0</v>
      </c>
      <c r="J16" s="35">
        <v>0</v>
      </c>
      <c r="K16" s="27">
        <f t="shared" si="10"/>
        <v>1968.97</v>
      </c>
      <c r="L16" s="34">
        <v>0</v>
      </c>
      <c r="M16" s="34">
        <v>0</v>
      </c>
      <c r="N16" s="35">
        <f t="shared" si="6"/>
        <v>1968.97</v>
      </c>
      <c r="O16" s="35">
        <v>20.010000000000002</v>
      </c>
      <c r="P16" s="27">
        <v>0</v>
      </c>
      <c r="Q16" s="27">
        <v>0</v>
      </c>
      <c r="R16" s="27">
        <f t="shared" si="7"/>
        <v>20.010000000000002</v>
      </c>
      <c r="S16" s="76">
        <v>0</v>
      </c>
      <c r="T16" s="87">
        <v>0</v>
      </c>
      <c r="U16" s="27">
        <f t="shared" si="8"/>
        <v>20.010000000000002</v>
      </c>
      <c r="V16" s="34">
        <v>20</v>
      </c>
      <c r="W16" s="34">
        <v>0</v>
      </c>
      <c r="X16" s="35">
        <v>0</v>
      </c>
      <c r="Y16" s="34">
        <v>0</v>
      </c>
      <c r="Z16" s="27">
        <f t="shared" si="0"/>
        <v>20</v>
      </c>
      <c r="AA16" s="27">
        <v>0</v>
      </c>
      <c r="AB16" s="27">
        <v>0</v>
      </c>
      <c r="AC16" s="27">
        <f t="shared" si="11"/>
        <v>20</v>
      </c>
      <c r="AD16" s="26">
        <v>0</v>
      </c>
      <c r="AE16" s="26">
        <v>0</v>
      </c>
      <c r="AF16" s="26">
        <f t="shared" si="9"/>
        <v>20</v>
      </c>
      <c r="AG16" s="34">
        <v>0</v>
      </c>
      <c r="AH16" s="34">
        <v>0</v>
      </c>
      <c r="AI16" s="26">
        <f t="shared" si="12"/>
        <v>20</v>
      </c>
    </row>
    <row r="17" spans="1:35" ht="24.75" customHeight="1" x14ac:dyDescent="0.25">
      <c r="A17" s="28" t="s">
        <v>53</v>
      </c>
      <c r="B17" s="75"/>
      <c r="C17" s="76">
        <v>0</v>
      </c>
      <c r="D17" s="76">
        <v>0</v>
      </c>
      <c r="E17" s="76">
        <v>0</v>
      </c>
      <c r="F17" s="77">
        <v>0</v>
      </c>
      <c r="G17" s="74">
        <f t="shared" si="5"/>
        <v>0</v>
      </c>
      <c r="H17" s="34">
        <v>0</v>
      </c>
      <c r="I17" s="35">
        <v>0</v>
      </c>
      <c r="J17" s="35">
        <v>0</v>
      </c>
      <c r="K17" s="27">
        <f t="shared" si="10"/>
        <v>0</v>
      </c>
      <c r="L17" s="34">
        <v>0</v>
      </c>
      <c r="M17" s="34">
        <v>0</v>
      </c>
      <c r="N17" s="35">
        <f t="shared" si="6"/>
        <v>0</v>
      </c>
      <c r="O17" s="35">
        <v>0</v>
      </c>
      <c r="P17" s="27">
        <v>0</v>
      </c>
      <c r="Q17" s="27">
        <v>0</v>
      </c>
      <c r="R17" s="27">
        <f t="shared" si="7"/>
        <v>0</v>
      </c>
      <c r="S17" s="34">
        <v>0</v>
      </c>
      <c r="T17" s="35">
        <v>0</v>
      </c>
      <c r="U17" s="35">
        <f t="shared" si="8"/>
        <v>0</v>
      </c>
      <c r="V17" s="34">
        <v>0</v>
      </c>
      <c r="W17" s="34">
        <v>0</v>
      </c>
      <c r="X17" s="35">
        <v>0</v>
      </c>
      <c r="Y17" s="34">
        <v>0</v>
      </c>
      <c r="Z17" s="27">
        <f>SUM(V17:Y17)</f>
        <v>0</v>
      </c>
      <c r="AA17" s="27">
        <v>0</v>
      </c>
      <c r="AB17" s="27">
        <f>SUM(X17:AA17)</f>
        <v>0</v>
      </c>
      <c r="AC17" s="27">
        <f t="shared" si="11"/>
        <v>0</v>
      </c>
      <c r="AD17" s="26">
        <v>0</v>
      </c>
      <c r="AE17" s="26">
        <v>0</v>
      </c>
      <c r="AF17" s="26">
        <f t="shared" si="9"/>
        <v>0</v>
      </c>
      <c r="AG17" s="34">
        <v>0</v>
      </c>
      <c r="AH17" s="34">
        <v>0</v>
      </c>
      <c r="AI17" s="26">
        <f t="shared" si="12"/>
        <v>0</v>
      </c>
    </row>
    <row r="18" spans="1:35" ht="15.75" thickBot="1" x14ac:dyDescent="0.3">
      <c r="A18" s="36" t="s">
        <v>54</v>
      </c>
      <c r="B18" s="88"/>
      <c r="C18" s="89">
        <v>60400</v>
      </c>
      <c r="D18" s="89">
        <v>67500</v>
      </c>
      <c r="E18" s="89">
        <v>0</v>
      </c>
      <c r="F18" s="90">
        <v>0</v>
      </c>
      <c r="G18" s="91">
        <f t="shared" si="5"/>
        <v>67500</v>
      </c>
      <c r="H18" s="44">
        <v>0</v>
      </c>
      <c r="I18" s="45">
        <v>0</v>
      </c>
      <c r="J18" s="45">
        <v>41050</v>
      </c>
      <c r="K18" s="46">
        <f t="shared" si="10"/>
        <v>108550</v>
      </c>
      <c r="L18" s="44">
        <v>0</v>
      </c>
      <c r="M18" s="44">
        <v>0</v>
      </c>
      <c r="N18" s="45">
        <f t="shared" si="6"/>
        <v>108550</v>
      </c>
      <c r="O18" s="45">
        <v>146071</v>
      </c>
      <c r="P18" s="46">
        <v>0</v>
      </c>
      <c r="Q18" s="46">
        <v>-900</v>
      </c>
      <c r="R18" s="46">
        <f t="shared" si="7"/>
        <v>145171</v>
      </c>
      <c r="S18" s="44">
        <v>0</v>
      </c>
      <c r="T18" s="45">
        <v>0</v>
      </c>
      <c r="U18" s="44">
        <f t="shared" si="8"/>
        <v>145171</v>
      </c>
      <c r="V18" s="44">
        <v>155436</v>
      </c>
      <c r="W18" s="44">
        <f>1112</f>
        <v>1112</v>
      </c>
      <c r="X18" s="46">
        <v>0</v>
      </c>
      <c r="Y18" s="47">
        <v>0</v>
      </c>
      <c r="Z18" s="46">
        <f t="shared" si="0"/>
        <v>156548</v>
      </c>
      <c r="AA18" s="46">
        <v>0</v>
      </c>
      <c r="AB18" s="46">
        <v>0</v>
      </c>
      <c r="AC18" s="46">
        <f t="shared" si="11"/>
        <v>156548</v>
      </c>
      <c r="AD18" s="47">
        <v>0</v>
      </c>
      <c r="AE18" s="47">
        <v>0</v>
      </c>
      <c r="AF18" s="47">
        <f t="shared" si="9"/>
        <v>156548</v>
      </c>
      <c r="AG18" s="44">
        <v>0</v>
      </c>
      <c r="AH18" s="44">
        <v>0</v>
      </c>
      <c r="AI18" s="26">
        <f>SUM(AF18:AH18)</f>
        <v>156548</v>
      </c>
    </row>
    <row r="19" spans="1:35" ht="15.75" thickBot="1" x14ac:dyDescent="0.3">
      <c r="A19" s="61" t="s">
        <v>55</v>
      </c>
      <c r="B19" s="92"/>
      <c r="C19" s="93">
        <f>C11+C12+C13+C15+C16+C17+C18</f>
        <v>449857.56</v>
      </c>
      <c r="D19" s="93">
        <f t="shared" ref="D19:N19" si="13">D11+D12+D13+D15+D16+D17+D18</f>
        <v>239960.85</v>
      </c>
      <c r="E19" s="93">
        <f t="shared" si="13"/>
        <v>340.43</v>
      </c>
      <c r="F19" s="93">
        <f t="shared" si="13"/>
        <v>153183.28</v>
      </c>
      <c r="G19" s="93">
        <f t="shared" si="13"/>
        <v>393484.56</v>
      </c>
      <c r="H19" s="93">
        <f t="shared" si="13"/>
        <v>-798.5</v>
      </c>
      <c r="I19" s="93">
        <f t="shared" si="13"/>
        <v>0</v>
      </c>
      <c r="J19" s="93">
        <f t="shared" si="13"/>
        <v>41050</v>
      </c>
      <c r="K19" s="94">
        <f t="shared" si="13"/>
        <v>433736.06</v>
      </c>
      <c r="L19" s="94">
        <f t="shared" si="13"/>
        <v>0</v>
      </c>
      <c r="M19" s="94">
        <f t="shared" si="13"/>
        <v>0</v>
      </c>
      <c r="N19" s="94">
        <f t="shared" si="13"/>
        <v>433736.06</v>
      </c>
      <c r="O19" s="94">
        <f>O11+O12+O13+O15+O16+O17+O18</f>
        <v>330805.06</v>
      </c>
      <c r="P19" s="94">
        <f>P11+P12+P13+P15+P16+P17+P18</f>
        <v>594.82000000000005</v>
      </c>
      <c r="Q19" s="94">
        <f>Q11+Q12+Q13+Q15+Q16+Q17+Q18</f>
        <v>128096.32000000001</v>
      </c>
      <c r="R19" s="94">
        <f>R11+R12+R13+R15+R16+R17+R18</f>
        <v>459496.2</v>
      </c>
      <c r="S19" s="95">
        <f t="shared" ref="S19:Y19" si="14">SUM(S11:S18)</f>
        <v>-730</v>
      </c>
      <c r="T19" s="96">
        <f t="shared" si="14"/>
        <v>0</v>
      </c>
      <c r="U19" s="96">
        <f t="shared" si="14"/>
        <v>458766.2</v>
      </c>
      <c r="V19" s="95">
        <f t="shared" si="14"/>
        <v>360550.33999999997</v>
      </c>
      <c r="W19" s="95">
        <f t="shared" si="14"/>
        <v>157712.03</v>
      </c>
      <c r="X19" s="96">
        <f t="shared" si="14"/>
        <v>0</v>
      </c>
      <c r="Y19" s="95">
        <f t="shared" si="14"/>
        <v>0</v>
      </c>
      <c r="Z19" s="97">
        <f t="shared" si="0"/>
        <v>518262.37</v>
      </c>
      <c r="AA19" s="97">
        <f>SUM(AA11:AA18)</f>
        <v>-1400</v>
      </c>
      <c r="AB19" s="97">
        <f>SUM(AB11:AB18)</f>
        <v>0</v>
      </c>
      <c r="AC19" s="97">
        <f>Z19+AA19+AB19</f>
        <v>516862.37</v>
      </c>
      <c r="AD19" s="98">
        <f>SUM(AD11:AD18)</f>
        <v>0</v>
      </c>
      <c r="AE19" s="98">
        <v>0</v>
      </c>
      <c r="AF19" s="95">
        <f>SUM(AF11:AF18)</f>
        <v>516862.37</v>
      </c>
      <c r="AG19" s="98">
        <f>SUM(AG11:AG18)</f>
        <v>1490.98</v>
      </c>
      <c r="AH19" s="98">
        <f>SUM(AH11:AH18)</f>
        <v>0</v>
      </c>
      <c r="AI19" s="95">
        <f>SUM(AF19:AH19)</f>
        <v>518353.35</v>
      </c>
    </row>
    <row r="20" spans="1:35" ht="16.5" thickBot="1" x14ac:dyDescent="0.3">
      <c r="A20" s="99" t="s">
        <v>56</v>
      </c>
      <c r="B20" s="100"/>
      <c r="C20" s="101">
        <f>C8+C19</f>
        <v>1555297.1</v>
      </c>
      <c r="D20" s="101">
        <f>D8+D19</f>
        <v>1322746.6500000001</v>
      </c>
      <c r="E20" s="101">
        <f t="shared" ref="E20:Q20" si="15">E8+E19</f>
        <v>14404.570000000002</v>
      </c>
      <c r="F20" s="101">
        <f t="shared" si="15"/>
        <v>142866.82</v>
      </c>
      <c r="G20" s="101">
        <f t="shared" si="15"/>
        <v>1516480.74</v>
      </c>
      <c r="H20" s="101">
        <f t="shared" si="15"/>
        <v>15655.75</v>
      </c>
      <c r="I20" s="101">
        <f t="shared" si="15"/>
        <v>0</v>
      </c>
      <c r="J20" s="101">
        <f t="shared" si="15"/>
        <v>42786.2</v>
      </c>
      <c r="K20" s="102">
        <f t="shared" si="15"/>
        <v>1574922.69</v>
      </c>
      <c r="L20" s="102">
        <f t="shared" si="15"/>
        <v>515.83000000000004</v>
      </c>
      <c r="M20" s="102">
        <f t="shared" si="15"/>
        <v>28929.309999999998</v>
      </c>
      <c r="N20" s="102">
        <f t="shared" si="15"/>
        <v>1604367.83</v>
      </c>
      <c r="O20" s="102">
        <f>O8+O19</f>
        <v>1523916.9500000002</v>
      </c>
      <c r="P20" s="102">
        <f t="shared" si="15"/>
        <v>34874.04</v>
      </c>
      <c r="Q20" s="102">
        <f t="shared" si="15"/>
        <v>127415.20000000001</v>
      </c>
      <c r="R20" s="102">
        <f>R8+R19</f>
        <v>1721976.1700000002</v>
      </c>
      <c r="S20" s="103">
        <f>SUM(S19+S8)</f>
        <v>13698.51</v>
      </c>
      <c r="T20" s="104">
        <f>SUM(T8,T19)</f>
        <v>15992.73</v>
      </c>
      <c r="U20" s="103">
        <f>SUM(U19+U8)</f>
        <v>1751667.4100000001</v>
      </c>
      <c r="V20" s="103">
        <f>SUM(V19+V8)</f>
        <v>1657171.6400000001</v>
      </c>
      <c r="W20" s="103">
        <f>SUM(W8+W19)</f>
        <v>169122.94</v>
      </c>
      <c r="X20" s="104">
        <f>SUM(X8+X19)</f>
        <v>0</v>
      </c>
      <c r="Y20" s="103">
        <f>SUM(Y8+Y19)</f>
        <v>57886.380000000005</v>
      </c>
      <c r="Z20" s="104">
        <f>SUM(V20:Y20)</f>
        <v>1884180.96</v>
      </c>
      <c r="AA20" s="104">
        <f>SUM(AA8+AA19)</f>
        <v>-49831.15</v>
      </c>
      <c r="AB20" s="104">
        <f>SUM(AB8+AB19)</f>
        <v>24618.120000000003</v>
      </c>
      <c r="AC20" s="104">
        <f>Z20+AA20+AB20</f>
        <v>1858967.9300000002</v>
      </c>
      <c r="AD20" s="103">
        <f>AD8+AD19</f>
        <v>-64553.089999999982</v>
      </c>
      <c r="AE20" s="103">
        <f>SUM(AE8+AE19)</f>
        <v>11953.06</v>
      </c>
      <c r="AF20" s="103">
        <f>AF8+AF19</f>
        <v>1811125.35</v>
      </c>
      <c r="AG20" s="103">
        <f>SUM(AG8+AG19)</f>
        <v>30966.069999999996</v>
      </c>
      <c r="AH20" s="103">
        <f>SUM(AH8+AH19)</f>
        <v>3266.16</v>
      </c>
      <c r="AI20" s="103">
        <f>SUM(AF20:AH20)</f>
        <v>1845357.58</v>
      </c>
    </row>
    <row r="21" spans="1:35" ht="15.75" thickBot="1" x14ac:dyDescent="0.3">
      <c r="A21" s="54"/>
      <c r="B21" s="55"/>
      <c r="C21" s="56"/>
      <c r="D21" s="56"/>
      <c r="E21" s="40"/>
      <c r="F21" s="40"/>
      <c r="G21" s="40"/>
      <c r="H21" s="105"/>
      <c r="I21" s="43"/>
      <c r="J21" s="43"/>
      <c r="K21" s="58"/>
      <c r="L21" s="57"/>
      <c r="M21" s="57"/>
      <c r="N21" s="58"/>
      <c r="O21" s="106"/>
      <c r="P21" s="58"/>
      <c r="Q21" s="58"/>
      <c r="R21" s="58"/>
      <c r="S21" s="59"/>
      <c r="T21" s="60"/>
      <c r="U21" s="60"/>
      <c r="V21" s="59"/>
      <c r="W21" s="59"/>
      <c r="Y21" s="107"/>
      <c r="Z21" s="46"/>
      <c r="AA21" s="46"/>
      <c r="AB21" s="46"/>
      <c r="AC21" s="46"/>
      <c r="AD21" s="47"/>
      <c r="AE21" s="47"/>
      <c r="AF21" s="47"/>
      <c r="AG21" s="47"/>
      <c r="AH21" s="47"/>
      <c r="AI21" s="47"/>
    </row>
    <row r="22" spans="1:35" ht="15.75" thickBot="1" x14ac:dyDescent="0.3">
      <c r="A22" s="108" t="s">
        <v>57</v>
      </c>
      <c r="B22" s="109"/>
      <c r="C22" s="110"/>
      <c r="D22" s="111"/>
      <c r="E22" s="112"/>
      <c r="F22" s="112"/>
      <c r="G22" s="113"/>
      <c r="H22" s="114"/>
      <c r="I22" s="115"/>
      <c r="J22" s="115"/>
      <c r="K22" s="116"/>
      <c r="L22" s="117"/>
      <c r="M22" s="117"/>
      <c r="N22" s="116"/>
      <c r="O22" s="118"/>
      <c r="P22" s="116"/>
      <c r="Q22" s="116"/>
      <c r="R22" s="116"/>
      <c r="S22" s="119"/>
      <c r="T22" s="120"/>
      <c r="U22" s="120"/>
      <c r="V22" s="119"/>
      <c r="W22" s="119"/>
      <c r="X22" s="120"/>
      <c r="Y22" s="119"/>
      <c r="Z22" s="121"/>
      <c r="AA22" s="121"/>
      <c r="AB22" s="121"/>
      <c r="AC22" s="121"/>
      <c r="AD22" s="122"/>
      <c r="AE22" s="122"/>
      <c r="AF22" s="122"/>
      <c r="AG22" s="122"/>
      <c r="AH22" s="122"/>
      <c r="AI22" s="122"/>
    </row>
    <row r="23" spans="1:35" ht="15.75" thickBot="1" x14ac:dyDescent="0.3">
      <c r="A23" s="123" t="s">
        <v>58</v>
      </c>
      <c r="B23" s="124"/>
      <c r="C23" s="125">
        <f t="shared" ref="C23:M23" si="16">SUM(C38:C38)</f>
        <v>1993.75</v>
      </c>
      <c r="D23" s="125">
        <f t="shared" si="16"/>
        <v>2752</v>
      </c>
      <c r="E23" s="125">
        <f t="shared" si="16"/>
        <v>0</v>
      </c>
      <c r="F23" s="125">
        <f t="shared" si="16"/>
        <v>-313.75</v>
      </c>
      <c r="G23" s="126">
        <f t="shared" si="16"/>
        <v>2438.25</v>
      </c>
      <c r="H23" s="126">
        <f t="shared" si="16"/>
        <v>-538</v>
      </c>
      <c r="I23" s="126">
        <f t="shared" si="16"/>
        <v>0</v>
      </c>
      <c r="J23" s="126">
        <f t="shared" si="16"/>
        <v>0</v>
      </c>
      <c r="K23" s="126">
        <f t="shared" si="16"/>
        <v>1900.25</v>
      </c>
      <c r="L23" s="126">
        <f t="shared" si="16"/>
        <v>0</v>
      </c>
      <c r="M23" s="126">
        <f t="shared" si="16"/>
        <v>0</v>
      </c>
      <c r="N23" s="126">
        <f>K23+L23+M23</f>
        <v>1900.25</v>
      </c>
      <c r="O23" s="127">
        <f>SUM(O25:O38)</f>
        <v>2752</v>
      </c>
      <c r="P23" s="127" t="e">
        <f>#REF!+#REF!+#REF!+#REF!+#REF!+#REF!+#REF!+#REF!+P28+#REF!+P38</f>
        <v>#REF!</v>
      </c>
      <c r="Q23" s="127" t="e">
        <f>#REF!+#REF!+#REF!+#REF!+#REF!+#REF!+#REF!+#REF!+Q28+#REF!+Q38</f>
        <v>#REF!</v>
      </c>
      <c r="R23" s="127">
        <f t="shared" ref="R23:AB23" si="17">SUM(R25:R38)</f>
        <v>2386</v>
      </c>
      <c r="S23" s="128">
        <f t="shared" si="17"/>
        <v>2696.96</v>
      </c>
      <c r="T23" s="129">
        <f t="shared" si="17"/>
        <v>0</v>
      </c>
      <c r="U23" s="129">
        <f t="shared" si="17"/>
        <v>5082.96</v>
      </c>
      <c r="V23" s="128">
        <f t="shared" si="17"/>
        <v>8320</v>
      </c>
      <c r="W23" s="128">
        <f t="shared" si="17"/>
        <v>-496</v>
      </c>
      <c r="X23" s="129">
        <f t="shared" si="17"/>
        <v>0</v>
      </c>
      <c r="Y23" s="128">
        <f t="shared" si="17"/>
        <v>100</v>
      </c>
      <c r="Z23" s="129">
        <f t="shared" si="17"/>
        <v>7924</v>
      </c>
      <c r="AA23" s="129">
        <f t="shared" si="17"/>
        <v>-280.39999999999998</v>
      </c>
      <c r="AB23" s="129">
        <f t="shared" si="17"/>
        <v>15</v>
      </c>
      <c r="AC23" s="129">
        <f>Z23+AA23+AB23</f>
        <v>7658.6</v>
      </c>
      <c r="AD23" s="128">
        <f>SUM(AD25:AD38)</f>
        <v>-505.5</v>
      </c>
      <c r="AE23" s="128">
        <f>SUM(AE25:AE38)</f>
        <v>166</v>
      </c>
      <c r="AF23" s="128">
        <f>SUM(AF25:AF38)</f>
        <v>7319.3</v>
      </c>
      <c r="AG23" s="128">
        <f>SUM(AG25:AG38)</f>
        <v>-115</v>
      </c>
      <c r="AH23" s="128">
        <f>SUM(AH25:AH38)</f>
        <v>0</v>
      </c>
      <c r="AI23" s="128">
        <f>SUM(AF23:AH23)</f>
        <v>7204.3</v>
      </c>
    </row>
    <row r="24" spans="1:35" x14ac:dyDescent="0.25">
      <c r="A24" s="130" t="s">
        <v>59</v>
      </c>
      <c r="B24" s="21"/>
      <c r="C24" s="22"/>
      <c r="D24" s="22"/>
      <c r="E24" s="23"/>
      <c r="F24" s="23"/>
      <c r="G24" s="23"/>
      <c r="H24" s="24"/>
      <c r="I24" s="25"/>
      <c r="J24" s="25"/>
      <c r="K24" s="131"/>
      <c r="L24" s="132"/>
      <c r="M24" s="132"/>
      <c r="N24" s="131"/>
      <c r="O24" s="131"/>
      <c r="P24" s="131"/>
      <c r="Q24" s="131"/>
      <c r="R24" s="131"/>
      <c r="S24" s="133"/>
      <c r="T24" s="134"/>
      <c r="U24" s="134"/>
      <c r="V24" s="135"/>
      <c r="W24" s="135"/>
      <c r="X24" s="136"/>
      <c r="Y24" s="135"/>
      <c r="Z24" s="136"/>
      <c r="AA24" s="136"/>
      <c r="AB24" s="136"/>
      <c r="AC24" s="27"/>
      <c r="AD24" s="26"/>
      <c r="AE24" s="26"/>
      <c r="AF24" s="26"/>
      <c r="AG24" s="26"/>
      <c r="AH24" s="26"/>
      <c r="AI24" s="26"/>
    </row>
    <row r="25" spans="1:35" ht="25.5" x14ac:dyDescent="0.25">
      <c r="A25" s="130" t="s">
        <v>60</v>
      </c>
      <c r="B25" s="137" t="s">
        <v>61</v>
      </c>
      <c r="C25" s="138"/>
      <c r="D25" s="22"/>
      <c r="E25" s="23"/>
      <c r="F25" s="23"/>
      <c r="G25" s="23"/>
      <c r="H25" s="24"/>
      <c r="I25" s="25"/>
      <c r="J25" s="25"/>
      <c r="K25" s="131"/>
      <c r="L25" s="132"/>
      <c r="M25" s="132"/>
      <c r="N25" s="131"/>
      <c r="O25" s="25"/>
      <c r="P25" s="25"/>
      <c r="Q25" s="25"/>
      <c r="R25" s="25"/>
      <c r="S25" s="32"/>
      <c r="T25" s="33"/>
      <c r="U25" s="33"/>
      <c r="V25" s="34">
        <v>0</v>
      </c>
      <c r="W25" s="34">
        <v>0</v>
      </c>
      <c r="X25" s="35">
        <v>0</v>
      </c>
      <c r="Y25" s="34">
        <f>20</f>
        <v>20</v>
      </c>
      <c r="Z25" s="35">
        <f>SUM(V25:Y25)</f>
        <v>20</v>
      </c>
      <c r="AA25" s="35">
        <v>0</v>
      </c>
      <c r="AB25" s="35">
        <v>0</v>
      </c>
      <c r="AC25" s="27">
        <f t="shared" si="11"/>
        <v>20</v>
      </c>
      <c r="AD25" s="26">
        <v>0</v>
      </c>
      <c r="AE25" s="26">
        <v>0</v>
      </c>
      <c r="AF25" s="26">
        <f t="shared" ref="AF25:AF37" si="18">SUM(AC25:AE25)</f>
        <v>20</v>
      </c>
      <c r="AG25" s="34">
        <v>0</v>
      </c>
      <c r="AH25" s="34">
        <v>0</v>
      </c>
      <c r="AI25" s="34">
        <f>SUM(AF25:AH25)</f>
        <v>20</v>
      </c>
    </row>
    <row r="26" spans="1:35" ht="25.5" x14ac:dyDescent="0.25">
      <c r="A26" s="130" t="s">
        <v>62</v>
      </c>
      <c r="B26" s="137" t="s">
        <v>63</v>
      </c>
      <c r="C26" s="138"/>
      <c r="D26" s="22"/>
      <c r="E26" s="23"/>
      <c r="F26" s="23"/>
      <c r="G26" s="23"/>
      <c r="H26" s="24"/>
      <c r="I26" s="25"/>
      <c r="J26" s="25"/>
      <c r="K26" s="131"/>
      <c r="L26" s="132"/>
      <c r="M26" s="132"/>
      <c r="N26" s="131"/>
      <c r="O26" s="25"/>
      <c r="P26" s="25"/>
      <c r="Q26" s="25"/>
      <c r="R26" s="25"/>
      <c r="S26" s="32"/>
      <c r="T26" s="33"/>
      <c r="U26" s="33"/>
      <c r="V26" s="34">
        <v>0</v>
      </c>
      <c r="W26" s="34">
        <f>45</f>
        <v>45</v>
      </c>
      <c r="X26" s="35">
        <v>0</v>
      </c>
      <c r="Y26" s="34">
        <v>0</v>
      </c>
      <c r="Z26" s="35">
        <f t="shared" ref="Z26:Z52" si="19">SUM(V26:Y26)</f>
        <v>45</v>
      </c>
      <c r="AA26" s="35">
        <v>0</v>
      </c>
      <c r="AB26" s="35">
        <v>0</v>
      </c>
      <c r="AC26" s="27">
        <f t="shared" si="11"/>
        <v>45</v>
      </c>
      <c r="AD26" s="26">
        <v>0</v>
      </c>
      <c r="AE26" s="26">
        <v>0</v>
      </c>
      <c r="AF26" s="26">
        <f>SUM(AC26:AE26)</f>
        <v>45</v>
      </c>
      <c r="AG26" s="34">
        <v>0</v>
      </c>
      <c r="AH26" s="34">
        <v>0</v>
      </c>
      <c r="AI26" s="34">
        <f t="shared" ref="AI26:AI37" si="20">SUM(AF26:AH26)</f>
        <v>45</v>
      </c>
    </row>
    <row r="27" spans="1:35" ht="51" x14ac:dyDescent="0.25">
      <c r="A27" s="130" t="s">
        <v>64</v>
      </c>
      <c r="B27" s="139" t="s">
        <v>65</v>
      </c>
      <c r="C27" s="138"/>
      <c r="D27" s="22"/>
      <c r="E27" s="23"/>
      <c r="F27" s="23"/>
      <c r="G27" s="23"/>
      <c r="H27" s="24"/>
      <c r="I27" s="25"/>
      <c r="J27" s="25"/>
      <c r="K27" s="131"/>
      <c r="L27" s="132"/>
      <c r="M27" s="132"/>
      <c r="N27" s="131"/>
      <c r="O27" s="25"/>
      <c r="P27" s="25"/>
      <c r="Q27" s="25"/>
      <c r="R27" s="25"/>
      <c r="S27" s="32"/>
      <c r="T27" s="33"/>
      <c r="U27" s="33"/>
      <c r="V27" s="34">
        <v>0</v>
      </c>
      <c r="W27" s="34"/>
      <c r="X27" s="35"/>
      <c r="Y27" s="34"/>
      <c r="Z27" s="35"/>
      <c r="AA27" s="35"/>
      <c r="AB27" s="35"/>
      <c r="AC27" s="27">
        <v>0</v>
      </c>
      <c r="AD27" s="26">
        <v>0</v>
      </c>
      <c r="AE27" s="26">
        <f>50</f>
        <v>50</v>
      </c>
      <c r="AF27" s="26">
        <f>SUM(AC27:AE27)</f>
        <v>50</v>
      </c>
      <c r="AG27" s="34">
        <v>0</v>
      </c>
      <c r="AH27" s="34">
        <v>0</v>
      </c>
      <c r="AI27" s="34">
        <f t="shared" si="20"/>
        <v>50</v>
      </c>
    </row>
    <row r="28" spans="1:35" x14ac:dyDescent="0.25">
      <c r="A28" s="130" t="s">
        <v>66</v>
      </c>
      <c r="B28" s="137" t="s">
        <v>67</v>
      </c>
      <c r="C28" s="138"/>
      <c r="D28" s="22"/>
      <c r="E28" s="23"/>
      <c r="F28" s="23"/>
      <c r="G28" s="23"/>
      <c r="H28" s="24"/>
      <c r="I28" s="25"/>
      <c r="J28" s="25"/>
      <c r="K28" s="131"/>
      <c r="L28" s="132"/>
      <c r="M28" s="132"/>
      <c r="N28" s="131"/>
      <c r="O28" s="25">
        <v>0</v>
      </c>
      <c r="P28" s="25">
        <v>0</v>
      </c>
      <c r="Q28" s="25">
        <v>60</v>
      </c>
      <c r="R28" s="25">
        <f>O28+P28+Q28</f>
        <v>60</v>
      </c>
      <c r="S28" s="34">
        <v>0</v>
      </c>
      <c r="T28" s="35">
        <v>0</v>
      </c>
      <c r="U28" s="35">
        <f>SUM(R28:T28)</f>
        <v>60</v>
      </c>
      <c r="V28" s="34">
        <v>0</v>
      </c>
      <c r="W28" s="34">
        <f>60</f>
        <v>60</v>
      </c>
      <c r="X28" s="35">
        <v>0</v>
      </c>
      <c r="Y28" s="34">
        <v>0</v>
      </c>
      <c r="Z28" s="35">
        <f t="shared" si="19"/>
        <v>60</v>
      </c>
      <c r="AA28" s="35">
        <v>0</v>
      </c>
      <c r="AB28" s="35">
        <v>0</v>
      </c>
      <c r="AC28" s="27">
        <f t="shared" si="11"/>
        <v>60</v>
      </c>
      <c r="AD28" s="26">
        <v>0</v>
      </c>
      <c r="AE28" s="26">
        <v>0</v>
      </c>
      <c r="AF28" s="26">
        <f>SUM(AC28:AE28)</f>
        <v>60</v>
      </c>
      <c r="AG28" s="34">
        <v>0</v>
      </c>
      <c r="AH28" s="34">
        <v>0</v>
      </c>
      <c r="AI28" s="34">
        <f t="shared" si="20"/>
        <v>60</v>
      </c>
    </row>
    <row r="29" spans="1:35" ht="25.5" x14ac:dyDescent="0.25">
      <c r="A29" s="130" t="s">
        <v>68</v>
      </c>
      <c r="B29" s="137" t="s">
        <v>69</v>
      </c>
      <c r="C29" s="138"/>
      <c r="D29" s="22"/>
      <c r="E29" s="23"/>
      <c r="F29" s="23"/>
      <c r="G29" s="23"/>
      <c r="H29" s="24"/>
      <c r="I29" s="25"/>
      <c r="J29" s="25"/>
      <c r="K29" s="131"/>
      <c r="L29" s="132"/>
      <c r="M29" s="132"/>
      <c r="N29" s="131"/>
      <c r="O29" s="25"/>
      <c r="P29" s="25"/>
      <c r="Q29" s="25"/>
      <c r="R29" s="25"/>
      <c r="S29" s="41"/>
      <c r="T29" s="42"/>
      <c r="U29" s="42"/>
      <c r="V29" s="34">
        <v>0</v>
      </c>
      <c r="W29" s="34">
        <f>8</f>
        <v>8</v>
      </c>
      <c r="X29" s="35">
        <v>0</v>
      </c>
      <c r="Y29" s="34">
        <v>0</v>
      </c>
      <c r="Z29" s="35">
        <f t="shared" si="19"/>
        <v>8</v>
      </c>
      <c r="AA29" s="35">
        <v>0</v>
      </c>
      <c r="AB29" s="35">
        <v>0</v>
      </c>
      <c r="AC29" s="27">
        <f t="shared" si="11"/>
        <v>8</v>
      </c>
      <c r="AD29" s="26">
        <v>0</v>
      </c>
      <c r="AE29" s="26">
        <v>0</v>
      </c>
      <c r="AF29" s="26">
        <f>SUM(AC29:AE29)-8</f>
        <v>0</v>
      </c>
      <c r="AG29" s="34">
        <v>0</v>
      </c>
      <c r="AH29" s="34">
        <v>0</v>
      </c>
      <c r="AI29" s="34">
        <f t="shared" si="20"/>
        <v>0</v>
      </c>
    </row>
    <row r="30" spans="1:35" ht="25.5" x14ac:dyDescent="0.25">
      <c r="A30" s="130" t="s">
        <v>70</v>
      </c>
      <c r="B30" s="137" t="s">
        <v>69</v>
      </c>
      <c r="C30" s="138"/>
      <c r="D30" s="22"/>
      <c r="E30" s="23"/>
      <c r="F30" s="23"/>
      <c r="G30" s="23"/>
      <c r="H30" s="24"/>
      <c r="I30" s="25"/>
      <c r="J30" s="25"/>
      <c r="K30" s="131"/>
      <c r="L30" s="132"/>
      <c r="M30" s="132"/>
      <c r="N30" s="131"/>
      <c r="O30" s="25"/>
      <c r="P30" s="25"/>
      <c r="Q30" s="25"/>
      <c r="R30" s="25"/>
      <c r="S30" s="32"/>
      <c r="T30" s="33"/>
      <c r="U30" s="33"/>
      <c r="V30" s="34">
        <v>0</v>
      </c>
      <c r="W30" s="34">
        <f>50</f>
        <v>50</v>
      </c>
      <c r="X30" s="35">
        <v>0</v>
      </c>
      <c r="Y30" s="34">
        <v>0</v>
      </c>
      <c r="Z30" s="35">
        <f t="shared" si="19"/>
        <v>50</v>
      </c>
      <c r="AA30" s="35">
        <v>0</v>
      </c>
      <c r="AB30" s="35">
        <v>0</v>
      </c>
      <c r="AC30" s="27">
        <f t="shared" si="11"/>
        <v>50</v>
      </c>
      <c r="AD30" s="26">
        <v>0</v>
      </c>
      <c r="AE30" s="26">
        <v>0</v>
      </c>
      <c r="AF30" s="26">
        <f t="shared" si="18"/>
        <v>50</v>
      </c>
      <c r="AG30" s="34">
        <v>0</v>
      </c>
      <c r="AH30" s="34">
        <v>0</v>
      </c>
      <c r="AI30" s="34">
        <f t="shared" si="20"/>
        <v>50</v>
      </c>
    </row>
    <row r="31" spans="1:35" ht="25.5" x14ac:dyDescent="0.25">
      <c r="A31" s="130" t="s">
        <v>71</v>
      </c>
      <c r="B31" s="137" t="s">
        <v>72</v>
      </c>
      <c r="C31" s="138"/>
      <c r="D31" s="22"/>
      <c r="E31" s="23"/>
      <c r="F31" s="23"/>
      <c r="G31" s="23"/>
      <c r="H31" s="24"/>
      <c r="I31" s="25"/>
      <c r="J31" s="25"/>
      <c r="K31" s="131"/>
      <c r="L31" s="132"/>
      <c r="M31" s="132"/>
      <c r="N31" s="131"/>
      <c r="O31" s="25"/>
      <c r="P31" s="25"/>
      <c r="Q31" s="25"/>
      <c r="R31" s="25"/>
      <c r="S31" s="24"/>
      <c r="T31" s="25"/>
      <c r="U31" s="25"/>
      <c r="V31" s="26">
        <v>0</v>
      </c>
      <c r="W31" s="26">
        <f>25</f>
        <v>25</v>
      </c>
      <c r="X31" s="27">
        <v>0</v>
      </c>
      <c r="Y31" s="26">
        <v>0</v>
      </c>
      <c r="Z31" s="27">
        <f>SUM(V31:Y31)</f>
        <v>25</v>
      </c>
      <c r="AA31" s="27">
        <v>0</v>
      </c>
      <c r="AB31" s="27">
        <v>0</v>
      </c>
      <c r="AC31" s="26">
        <f t="shared" si="11"/>
        <v>25</v>
      </c>
      <c r="AD31" s="26">
        <v>0</v>
      </c>
      <c r="AE31" s="26">
        <f>-13.29</f>
        <v>-13.29</v>
      </c>
      <c r="AF31" s="26">
        <f t="shared" si="18"/>
        <v>11.71</v>
      </c>
      <c r="AG31" s="34">
        <v>0</v>
      </c>
      <c r="AH31" s="34">
        <v>0</v>
      </c>
      <c r="AI31" s="34">
        <f t="shared" si="20"/>
        <v>11.71</v>
      </c>
    </row>
    <row r="32" spans="1:35" ht="38.25" x14ac:dyDescent="0.25">
      <c r="A32" s="140" t="s">
        <v>73</v>
      </c>
      <c r="B32" s="141" t="s">
        <v>74</v>
      </c>
      <c r="C32" s="142"/>
      <c r="D32" s="30"/>
      <c r="E32" s="31"/>
      <c r="F32" s="31"/>
      <c r="G32" s="31"/>
      <c r="H32" s="32"/>
      <c r="I32" s="33"/>
      <c r="J32" s="33"/>
      <c r="K32" s="143"/>
      <c r="L32" s="144"/>
      <c r="M32" s="144"/>
      <c r="N32" s="143"/>
      <c r="O32" s="33"/>
      <c r="P32" s="33"/>
      <c r="Q32" s="33"/>
      <c r="R32" s="33"/>
      <c r="S32" s="32"/>
      <c r="T32" s="33"/>
      <c r="U32" s="33"/>
      <c r="V32" s="34">
        <v>0</v>
      </c>
      <c r="W32" s="34"/>
      <c r="X32" s="35"/>
      <c r="Y32" s="34"/>
      <c r="Z32" s="35"/>
      <c r="AA32" s="35"/>
      <c r="AB32" s="35"/>
      <c r="AC32" s="35">
        <v>0</v>
      </c>
      <c r="AD32" s="34">
        <v>0</v>
      </c>
      <c r="AE32" s="34">
        <v>25</v>
      </c>
      <c r="AF32" s="34">
        <f t="shared" si="18"/>
        <v>25</v>
      </c>
      <c r="AG32" s="34">
        <v>0</v>
      </c>
      <c r="AH32" s="34">
        <v>0</v>
      </c>
      <c r="AI32" s="34">
        <f t="shared" si="20"/>
        <v>25</v>
      </c>
    </row>
    <row r="33" spans="1:35" ht="25.5" x14ac:dyDescent="0.25">
      <c r="A33" s="130" t="s">
        <v>75</v>
      </c>
      <c r="B33" s="137" t="s">
        <v>74</v>
      </c>
      <c r="C33" s="138"/>
      <c r="D33" s="22"/>
      <c r="E33" s="23"/>
      <c r="F33" s="23"/>
      <c r="G33" s="23"/>
      <c r="H33" s="24"/>
      <c r="I33" s="25"/>
      <c r="J33" s="25"/>
      <c r="K33" s="131"/>
      <c r="L33" s="132"/>
      <c r="M33" s="132"/>
      <c r="N33" s="131"/>
      <c r="O33" s="25"/>
      <c r="P33" s="25"/>
      <c r="Q33" s="25"/>
      <c r="R33" s="25"/>
      <c r="S33" s="24"/>
      <c r="T33" s="25"/>
      <c r="U33" s="25"/>
      <c r="V33" s="26">
        <v>0</v>
      </c>
      <c r="W33" s="47"/>
      <c r="X33" s="46"/>
      <c r="Y33" s="47"/>
      <c r="Z33" s="27"/>
      <c r="AA33" s="27"/>
      <c r="AB33" s="27"/>
      <c r="AC33" s="27">
        <v>0</v>
      </c>
      <c r="AD33" s="26">
        <v>0</v>
      </c>
      <c r="AE33" s="26">
        <v>15</v>
      </c>
      <c r="AF33" s="26">
        <f t="shared" si="18"/>
        <v>15</v>
      </c>
      <c r="AG33" s="26">
        <v>0</v>
      </c>
      <c r="AH33" s="26">
        <v>0</v>
      </c>
      <c r="AI33" s="34">
        <f t="shared" si="20"/>
        <v>15</v>
      </c>
    </row>
    <row r="34" spans="1:35" ht="25.5" x14ac:dyDescent="0.25">
      <c r="A34" s="130" t="s">
        <v>76</v>
      </c>
      <c r="B34" s="137" t="s">
        <v>65</v>
      </c>
      <c r="C34" s="138"/>
      <c r="D34" s="22"/>
      <c r="E34" s="23"/>
      <c r="F34" s="23"/>
      <c r="G34" s="23"/>
      <c r="H34" s="24"/>
      <c r="I34" s="25"/>
      <c r="J34" s="25"/>
      <c r="K34" s="131"/>
      <c r="L34" s="132"/>
      <c r="M34" s="132"/>
      <c r="N34" s="131"/>
      <c r="O34" s="25"/>
      <c r="P34" s="25"/>
      <c r="Q34" s="25"/>
      <c r="R34" s="25"/>
      <c r="S34" s="24"/>
      <c r="T34" s="25"/>
      <c r="U34" s="25"/>
      <c r="V34" s="26">
        <v>0</v>
      </c>
      <c r="W34" s="26"/>
      <c r="X34" s="27"/>
      <c r="Y34" s="26"/>
      <c r="Z34" s="27"/>
      <c r="AA34" s="27"/>
      <c r="AB34" s="27"/>
      <c r="AC34" s="27">
        <v>0</v>
      </c>
      <c r="AD34" s="26">
        <v>0</v>
      </c>
      <c r="AE34" s="26">
        <f>30</f>
        <v>30</v>
      </c>
      <c r="AF34" s="26">
        <f>SUM(V34:AE34)</f>
        <v>30</v>
      </c>
      <c r="AG34" s="34">
        <v>0</v>
      </c>
      <c r="AH34" s="34">
        <v>0</v>
      </c>
      <c r="AI34" s="34">
        <f t="shared" si="20"/>
        <v>30</v>
      </c>
    </row>
    <row r="35" spans="1:35" ht="38.25" x14ac:dyDescent="0.25">
      <c r="A35" s="130" t="s">
        <v>77</v>
      </c>
      <c r="B35" s="137" t="s">
        <v>63</v>
      </c>
      <c r="C35" s="138"/>
      <c r="D35" s="22"/>
      <c r="E35" s="23"/>
      <c r="F35" s="23"/>
      <c r="G35" s="23"/>
      <c r="H35" s="24"/>
      <c r="I35" s="25"/>
      <c r="J35" s="25"/>
      <c r="K35" s="131"/>
      <c r="L35" s="132"/>
      <c r="M35" s="132"/>
      <c r="N35" s="131"/>
      <c r="O35" s="25"/>
      <c r="P35" s="25"/>
      <c r="Q35" s="25"/>
      <c r="R35" s="25"/>
      <c r="S35" s="24"/>
      <c r="T35" s="25"/>
      <c r="U35" s="25"/>
      <c r="V35" s="26">
        <v>0</v>
      </c>
      <c r="W35" s="26">
        <f>50</f>
        <v>50</v>
      </c>
      <c r="X35" s="27">
        <v>0</v>
      </c>
      <c r="Y35" s="26">
        <v>0</v>
      </c>
      <c r="Z35" s="27">
        <f t="shared" si="19"/>
        <v>50</v>
      </c>
      <c r="AA35" s="27">
        <v>0</v>
      </c>
      <c r="AB35" s="27">
        <v>0</v>
      </c>
      <c r="AC35" s="27">
        <f t="shared" si="11"/>
        <v>50</v>
      </c>
      <c r="AD35" s="26">
        <v>0</v>
      </c>
      <c r="AE35" s="26">
        <v>0</v>
      </c>
      <c r="AF35" s="26">
        <f t="shared" si="18"/>
        <v>50</v>
      </c>
      <c r="AG35" s="34">
        <v>0</v>
      </c>
      <c r="AH35" s="34">
        <v>0</v>
      </c>
      <c r="AI35" s="34">
        <f t="shared" si="20"/>
        <v>50</v>
      </c>
    </row>
    <row r="36" spans="1:35" ht="22.5" customHeight="1" x14ac:dyDescent="0.25">
      <c r="A36" s="130" t="s">
        <v>78</v>
      </c>
      <c r="B36" s="145" t="s">
        <v>67</v>
      </c>
      <c r="C36" s="138"/>
      <c r="D36" s="22"/>
      <c r="E36" s="23"/>
      <c r="F36" s="23"/>
      <c r="G36" s="23"/>
      <c r="H36" s="24"/>
      <c r="I36" s="25"/>
      <c r="J36" s="25"/>
      <c r="K36" s="131"/>
      <c r="L36" s="132"/>
      <c r="M36" s="132"/>
      <c r="N36" s="131"/>
      <c r="O36" s="25"/>
      <c r="P36" s="25"/>
      <c r="Q36" s="25"/>
      <c r="R36" s="25"/>
      <c r="S36" s="32"/>
      <c r="T36" s="33"/>
      <c r="U36" s="33"/>
      <c r="V36" s="34">
        <v>0</v>
      </c>
      <c r="W36" s="34"/>
      <c r="X36" s="35"/>
      <c r="Y36" s="34"/>
      <c r="Z36" s="35">
        <v>0</v>
      </c>
      <c r="AA36" s="35">
        <v>0</v>
      </c>
      <c r="AB36" s="35">
        <f>20</f>
        <v>20</v>
      </c>
      <c r="AC36" s="27">
        <f t="shared" si="11"/>
        <v>20</v>
      </c>
      <c r="AD36" s="26">
        <v>0</v>
      </c>
      <c r="AE36" s="26">
        <v>0</v>
      </c>
      <c r="AF36" s="26">
        <f>SUM(AC36:AE36)-10.25</f>
        <v>9.75</v>
      </c>
      <c r="AG36" s="34">
        <v>0</v>
      </c>
      <c r="AH36" s="34">
        <v>0</v>
      </c>
      <c r="AI36" s="34">
        <f t="shared" si="20"/>
        <v>9.75</v>
      </c>
    </row>
    <row r="37" spans="1:35" ht="38.25" customHeight="1" x14ac:dyDescent="0.25">
      <c r="A37" s="140" t="s">
        <v>79</v>
      </c>
      <c r="B37" s="141" t="s">
        <v>61</v>
      </c>
      <c r="C37" s="142"/>
      <c r="D37" s="30"/>
      <c r="E37" s="31"/>
      <c r="F37" s="31"/>
      <c r="G37" s="31"/>
      <c r="H37" s="32"/>
      <c r="I37" s="33"/>
      <c r="J37" s="33"/>
      <c r="K37" s="143"/>
      <c r="L37" s="144"/>
      <c r="M37" s="144"/>
      <c r="N37" s="143"/>
      <c r="O37" s="33"/>
      <c r="P37" s="33"/>
      <c r="Q37" s="33"/>
      <c r="R37" s="33"/>
      <c r="S37" s="32"/>
      <c r="T37" s="33"/>
      <c r="U37" s="33"/>
      <c r="V37" s="34">
        <v>0</v>
      </c>
      <c r="W37" s="34"/>
      <c r="X37" s="35"/>
      <c r="Y37" s="34"/>
      <c r="Z37" s="35">
        <v>0</v>
      </c>
      <c r="AA37" s="35">
        <v>0</v>
      </c>
      <c r="AB37" s="35">
        <f>50</f>
        <v>50</v>
      </c>
      <c r="AC37" s="27">
        <f t="shared" si="11"/>
        <v>50</v>
      </c>
      <c r="AD37" s="26">
        <v>0</v>
      </c>
      <c r="AE37" s="26">
        <v>0</v>
      </c>
      <c r="AF37" s="26">
        <f t="shared" si="18"/>
        <v>50</v>
      </c>
      <c r="AG37" s="34">
        <v>0</v>
      </c>
      <c r="AH37" s="34">
        <v>0</v>
      </c>
      <c r="AI37" s="34">
        <f t="shared" si="20"/>
        <v>50</v>
      </c>
    </row>
    <row r="38" spans="1:35" ht="26.25" thickBot="1" x14ac:dyDescent="0.3">
      <c r="A38" s="146" t="s">
        <v>80</v>
      </c>
      <c r="B38" s="147"/>
      <c r="C38" s="148">
        <v>1993.75</v>
      </c>
      <c r="D38" s="38">
        <v>2752</v>
      </c>
      <c r="E38" s="39">
        <v>0</v>
      </c>
      <c r="F38" s="39">
        <v>-313.75</v>
      </c>
      <c r="G38" s="39">
        <f>D38+E38+F38</f>
        <v>2438.25</v>
      </c>
      <c r="H38" s="41">
        <f>-483-55</f>
        <v>-538</v>
      </c>
      <c r="I38" s="42">
        <v>0</v>
      </c>
      <c r="J38" s="42">
        <v>0</v>
      </c>
      <c r="K38" s="42">
        <f>G38+H38+I38+J38</f>
        <v>1900.25</v>
      </c>
      <c r="L38" s="41">
        <v>0</v>
      </c>
      <c r="M38" s="41">
        <v>0</v>
      </c>
      <c r="N38" s="42">
        <f>K38+L38+M38</f>
        <v>1900.25</v>
      </c>
      <c r="O38" s="42">
        <v>2752</v>
      </c>
      <c r="P38" s="42">
        <v>0</v>
      </c>
      <c r="Q38" s="42">
        <v>-426</v>
      </c>
      <c r="R38" s="42">
        <f>O38+P38+Q38</f>
        <v>2326</v>
      </c>
      <c r="S38" s="44">
        <v>2696.96</v>
      </c>
      <c r="T38" s="45">
        <v>0</v>
      </c>
      <c r="U38" s="45">
        <f>SUM(R38:T38)</f>
        <v>5022.96</v>
      </c>
      <c r="V38" s="44">
        <v>8320</v>
      </c>
      <c r="W38" s="44">
        <f>-208-50-316-160</f>
        <v>-734</v>
      </c>
      <c r="X38" s="45">
        <v>0</v>
      </c>
      <c r="Y38" s="44">
        <f>80</f>
        <v>80</v>
      </c>
      <c r="Z38" s="45">
        <f t="shared" si="19"/>
        <v>7666</v>
      </c>
      <c r="AA38" s="45">
        <f>-280.4</f>
        <v>-280.39999999999998</v>
      </c>
      <c r="AB38" s="45">
        <f>-20-50+15</f>
        <v>-55</v>
      </c>
      <c r="AC38" s="46">
        <f t="shared" si="11"/>
        <v>7330.6</v>
      </c>
      <c r="AD38" s="47">
        <v>-505.5</v>
      </c>
      <c r="AE38" s="47">
        <f>-20+56+20+3.29</f>
        <v>59.29</v>
      </c>
      <c r="AF38" s="47">
        <f>SUM(AC38:AE38)+10.45+8</f>
        <v>6902.84</v>
      </c>
      <c r="AG38" s="44">
        <f>-115</f>
        <v>-115</v>
      </c>
      <c r="AH38" s="44">
        <v>0</v>
      </c>
      <c r="AI38" s="34">
        <f>SUM(AF38:AH38)</f>
        <v>6787.84</v>
      </c>
    </row>
    <row r="39" spans="1:35" ht="15.75" thickBot="1" x14ac:dyDescent="0.3">
      <c r="A39" s="149" t="s">
        <v>81</v>
      </c>
      <c r="B39" s="150"/>
      <c r="C39" s="125">
        <f>C41+C42+C43+C44</f>
        <v>211403.21</v>
      </c>
      <c r="D39" s="125">
        <f>D41+D42+D43+D44</f>
        <v>218548</v>
      </c>
      <c r="E39" s="125">
        <f t="shared" ref="E39:M39" si="21">E41+E42+E43+E44</f>
        <v>8490.39</v>
      </c>
      <c r="F39" s="125">
        <f t="shared" si="21"/>
        <v>4985.58</v>
      </c>
      <c r="G39" s="125">
        <f t="shared" si="21"/>
        <v>232041.47</v>
      </c>
      <c r="H39" s="125">
        <f t="shared" si="21"/>
        <v>451</v>
      </c>
      <c r="I39" s="125">
        <f t="shared" si="21"/>
        <v>0</v>
      </c>
      <c r="J39" s="125">
        <f t="shared" si="21"/>
        <v>1047.56</v>
      </c>
      <c r="K39" s="125">
        <f t="shared" si="21"/>
        <v>233540.03</v>
      </c>
      <c r="L39" s="125">
        <f t="shared" si="21"/>
        <v>0</v>
      </c>
      <c r="M39" s="125">
        <f t="shared" si="21"/>
        <v>0</v>
      </c>
      <c r="N39" s="126">
        <f>K39+L39+M39</f>
        <v>233540.03</v>
      </c>
      <c r="O39" s="127">
        <f>SUM(O41:O44)</f>
        <v>249680</v>
      </c>
      <c r="P39" s="127">
        <f t="shared" ref="P39:U39" si="22">SUM(P41:P44)</f>
        <v>9673.15</v>
      </c>
      <c r="Q39" s="127">
        <f t="shared" si="22"/>
        <v>5500</v>
      </c>
      <c r="R39" s="127">
        <f t="shared" si="22"/>
        <v>266024.15000000002</v>
      </c>
      <c r="S39" s="128">
        <f t="shared" si="22"/>
        <v>70</v>
      </c>
      <c r="T39" s="129">
        <f t="shared" si="22"/>
        <v>11302.4</v>
      </c>
      <c r="U39" s="129">
        <f t="shared" si="22"/>
        <v>277396.55</v>
      </c>
      <c r="V39" s="128">
        <f>SUM(V41:V44)</f>
        <v>266190.81</v>
      </c>
      <c r="W39" s="128">
        <f>SUM(W41:W44)</f>
        <v>2325</v>
      </c>
      <c r="X39" s="129">
        <f>SUM(X41:X44)</f>
        <v>0</v>
      </c>
      <c r="Y39" s="128">
        <f>SUM(Y41:Y44)</f>
        <v>12263.41</v>
      </c>
      <c r="Z39" s="129">
        <f t="shared" si="19"/>
        <v>280779.21999999997</v>
      </c>
      <c r="AA39" s="129">
        <f>SUM(AA41:AA44)</f>
        <v>-5600</v>
      </c>
      <c r="AB39" s="129">
        <f>SUM(AB41:AB44)</f>
        <v>14014.4</v>
      </c>
      <c r="AC39" s="129">
        <f>Z39+AA39+AB39</f>
        <v>289193.62</v>
      </c>
      <c r="AD39" s="128">
        <f>SUM(AD41:AD44)</f>
        <v>-8079.96</v>
      </c>
      <c r="AE39" s="128">
        <f>SUM(AE41:AE44)</f>
        <v>338.58000000000004</v>
      </c>
      <c r="AF39" s="128">
        <f>SUM(AF41:AF44)</f>
        <v>281452.24</v>
      </c>
      <c r="AG39" s="128">
        <f>SUM(AG41:AG44)</f>
        <v>0</v>
      </c>
      <c r="AH39" s="128">
        <f>SUM(AH41:AH44)</f>
        <v>0</v>
      </c>
      <c r="AI39" s="128">
        <f>SUM(AF39:AH39)</f>
        <v>281452.24</v>
      </c>
    </row>
    <row r="40" spans="1:35" x14ac:dyDescent="0.25">
      <c r="A40" s="151" t="s">
        <v>59</v>
      </c>
      <c r="B40" s="152"/>
      <c r="C40" s="22"/>
      <c r="D40" s="22"/>
      <c r="E40" s="22"/>
      <c r="F40" s="22"/>
      <c r="G40" s="22"/>
      <c r="H40" s="24"/>
      <c r="I40" s="24"/>
      <c r="J40" s="24"/>
      <c r="K40" s="132"/>
      <c r="L40" s="132"/>
      <c r="M40" s="132"/>
      <c r="N40" s="132"/>
      <c r="O40" s="132"/>
      <c r="P40" s="132"/>
      <c r="Q40" s="132"/>
      <c r="R40" s="132"/>
      <c r="S40" s="135"/>
      <c r="T40" s="135"/>
      <c r="U40" s="135"/>
      <c r="V40" s="133"/>
      <c r="W40" s="133"/>
      <c r="X40" s="134"/>
      <c r="Y40" s="133"/>
      <c r="Z40" s="27"/>
      <c r="AA40" s="27"/>
      <c r="AB40" s="27"/>
      <c r="AC40" s="27"/>
      <c r="AD40" s="26"/>
      <c r="AE40" s="26"/>
      <c r="AF40" s="26"/>
      <c r="AG40" s="26"/>
      <c r="AH40" s="26"/>
      <c r="AI40" s="26"/>
    </row>
    <row r="41" spans="1:35" ht="25.5" x14ac:dyDescent="0.25">
      <c r="A41" s="153" t="s">
        <v>82</v>
      </c>
      <c r="B41" s="141"/>
      <c r="C41" s="142">
        <v>17513.71</v>
      </c>
      <c r="D41" s="30">
        <v>0</v>
      </c>
      <c r="E41" s="31">
        <f>1844.47+6690</f>
        <v>8534.4699999999993</v>
      </c>
      <c r="F41" s="31">
        <v>0</v>
      </c>
      <c r="G41" s="31">
        <f>D41+E41+F41</f>
        <v>8534.4699999999993</v>
      </c>
      <c r="H41" s="32">
        <v>0</v>
      </c>
      <c r="I41" s="33">
        <v>0</v>
      </c>
      <c r="J41" s="33">
        <v>1047.56</v>
      </c>
      <c r="K41" s="33">
        <f>G41+H41+I41+J41</f>
        <v>9582.0299999999988</v>
      </c>
      <c r="L41" s="32">
        <v>0</v>
      </c>
      <c r="M41" s="32">
        <v>0</v>
      </c>
      <c r="N41" s="33">
        <f>K41+L41+M41</f>
        <v>9582.0299999999988</v>
      </c>
      <c r="O41" s="33">
        <v>0</v>
      </c>
      <c r="P41" s="33">
        <f>0+1668+9360.65</f>
        <v>11028.65</v>
      </c>
      <c r="Q41" s="33">
        <v>0</v>
      </c>
      <c r="R41" s="33">
        <f>O41+P41+Q41+1171</f>
        <v>12199.65</v>
      </c>
      <c r="S41" s="34">
        <v>0</v>
      </c>
      <c r="T41" s="35">
        <f>11302.4</f>
        <v>11302.4</v>
      </c>
      <c r="U41" s="35">
        <f>SUM(R41:T41)</f>
        <v>23502.05</v>
      </c>
      <c r="V41" s="34">
        <v>0</v>
      </c>
      <c r="W41" s="34">
        <v>0</v>
      </c>
      <c r="X41" s="35">
        <v>0</v>
      </c>
      <c r="Y41" s="34">
        <f>8015+4208.41</f>
        <v>12223.41</v>
      </c>
      <c r="Z41" s="35">
        <f t="shared" si="19"/>
        <v>12223.41</v>
      </c>
      <c r="AA41" s="35">
        <v>0</v>
      </c>
      <c r="AB41" s="35">
        <f>1169+2698+10147.4</f>
        <v>14014.4</v>
      </c>
      <c r="AC41" s="27">
        <f t="shared" si="11"/>
        <v>26237.809999999998</v>
      </c>
      <c r="AD41" s="26">
        <v>0</v>
      </c>
      <c r="AE41" s="26">
        <f>248.99+89.59</f>
        <v>338.58000000000004</v>
      </c>
      <c r="AF41" s="26">
        <f>SUM(AC41:AE41)</f>
        <v>26576.39</v>
      </c>
      <c r="AG41" s="34">
        <v>0</v>
      </c>
      <c r="AH41" s="34">
        <v>0</v>
      </c>
      <c r="AI41" s="34">
        <f>SUM(AF41:AH41)</f>
        <v>26576.39</v>
      </c>
    </row>
    <row r="42" spans="1:35" x14ac:dyDescent="0.25">
      <c r="A42" s="153" t="s">
        <v>83</v>
      </c>
      <c r="B42" s="141"/>
      <c r="C42" s="142">
        <v>1078.5</v>
      </c>
      <c r="D42" s="30">
        <v>1000</v>
      </c>
      <c r="E42" s="31">
        <v>5.92</v>
      </c>
      <c r="F42" s="31">
        <v>25.58</v>
      </c>
      <c r="G42" s="31">
        <f>D42+E42+F42+17.5</f>
        <v>1049</v>
      </c>
      <c r="H42" s="32">
        <v>0</v>
      </c>
      <c r="I42" s="33">
        <v>0</v>
      </c>
      <c r="J42" s="33">
        <v>0</v>
      </c>
      <c r="K42" s="33">
        <f>G42+H42+I42+J42</f>
        <v>1049</v>
      </c>
      <c r="L42" s="32">
        <v>0</v>
      </c>
      <c r="M42" s="32">
        <v>0</v>
      </c>
      <c r="N42" s="33">
        <f>K42+L42+M42</f>
        <v>1049</v>
      </c>
      <c r="O42" s="33">
        <v>1000</v>
      </c>
      <c r="P42" s="33">
        <f>14.4+1.1</f>
        <v>15.5</v>
      </c>
      <c r="Q42" s="33">
        <v>0</v>
      </c>
      <c r="R42" s="33">
        <f>O42+P42+Q42</f>
        <v>1015.5</v>
      </c>
      <c r="S42" s="34">
        <v>0</v>
      </c>
      <c r="T42" s="35"/>
      <c r="U42" s="35">
        <f>SUM(R42:T42)</f>
        <v>1015.5</v>
      </c>
      <c r="V42" s="34">
        <v>1000</v>
      </c>
      <c r="W42" s="34">
        <f>31</f>
        <v>31</v>
      </c>
      <c r="X42" s="35">
        <v>0</v>
      </c>
      <c r="Y42" s="34">
        <v>0</v>
      </c>
      <c r="Z42" s="35">
        <f t="shared" si="19"/>
        <v>1031</v>
      </c>
      <c r="AA42" s="35">
        <f>-400</f>
        <v>-400</v>
      </c>
      <c r="AB42" s="35">
        <f>-30-30</f>
        <v>-60</v>
      </c>
      <c r="AC42" s="27">
        <f t="shared" si="11"/>
        <v>571</v>
      </c>
      <c r="AD42" s="26">
        <v>0</v>
      </c>
      <c r="AE42" s="26">
        <v>0</v>
      </c>
      <c r="AF42" s="26">
        <f>SUM(AC42:AE42)</f>
        <v>571</v>
      </c>
      <c r="AG42" s="34">
        <v>0</v>
      </c>
      <c r="AH42" s="34">
        <v>0</v>
      </c>
      <c r="AI42" s="34">
        <f t="shared" ref="AI42:AI43" si="23">SUM(AF42:AH42)</f>
        <v>571</v>
      </c>
    </row>
    <row r="43" spans="1:35" x14ac:dyDescent="0.25">
      <c r="A43" s="153" t="s">
        <v>84</v>
      </c>
      <c r="B43" s="141"/>
      <c r="C43" s="142">
        <v>4765</v>
      </c>
      <c r="D43" s="30">
        <v>6318</v>
      </c>
      <c r="E43" s="31">
        <v>0</v>
      </c>
      <c r="F43" s="31">
        <v>0</v>
      </c>
      <c r="G43" s="31">
        <f>D43+E43+F43</f>
        <v>6318</v>
      </c>
      <c r="H43" s="32">
        <v>0</v>
      </c>
      <c r="I43" s="33">
        <v>0</v>
      </c>
      <c r="J43" s="33">
        <v>0</v>
      </c>
      <c r="K43" s="33">
        <f>6283+35</f>
        <v>6318</v>
      </c>
      <c r="L43" s="32">
        <v>0</v>
      </c>
      <c r="M43" s="32">
        <v>0</v>
      </c>
      <c r="N43" s="33">
        <f>K43+L43+M43</f>
        <v>6318</v>
      </c>
      <c r="O43" s="33">
        <v>8437</v>
      </c>
      <c r="P43" s="33">
        <v>-155</v>
      </c>
      <c r="Q43" s="33">
        <v>0</v>
      </c>
      <c r="R43" s="33">
        <f>O43+P43+Q43</f>
        <v>8282</v>
      </c>
      <c r="S43" s="34">
        <v>70</v>
      </c>
      <c r="T43" s="35"/>
      <c r="U43" s="35">
        <f>SUM(R43:T43)</f>
        <v>8352</v>
      </c>
      <c r="V43" s="34">
        <v>8945</v>
      </c>
      <c r="W43" s="34">
        <f>40</f>
        <v>40</v>
      </c>
      <c r="X43" s="35">
        <v>0</v>
      </c>
      <c r="Y43" s="34">
        <f>40</f>
        <v>40</v>
      </c>
      <c r="Z43" s="35">
        <f t="shared" si="19"/>
        <v>9025</v>
      </c>
      <c r="AA43" s="35">
        <v>0</v>
      </c>
      <c r="AB43" s="35">
        <v>0</v>
      </c>
      <c r="AC43" s="27">
        <f t="shared" si="11"/>
        <v>9025</v>
      </c>
      <c r="AD43" s="26">
        <v>0</v>
      </c>
      <c r="AE43" s="26">
        <v>0</v>
      </c>
      <c r="AF43" s="26">
        <f>SUM(AC43:AE43)</f>
        <v>9025</v>
      </c>
      <c r="AG43" s="34">
        <v>0</v>
      </c>
      <c r="AH43" s="34">
        <v>0</v>
      </c>
      <c r="AI43" s="34">
        <f t="shared" si="23"/>
        <v>9025</v>
      </c>
    </row>
    <row r="44" spans="1:35" ht="15.75" thickBot="1" x14ac:dyDescent="0.3">
      <c r="A44" s="154" t="s">
        <v>85</v>
      </c>
      <c r="B44" s="147"/>
      <c r="C44" s="148">
        <v>188046</v>
      </c>
      <c r="D44" s="38">
        <v>211230</v>
      </c>
      <c r="E44" s="39">
        <v>-50</v>
      </c>
      <c r="F44" s="39">
        <v>4960</v>
      </c>
      <c r="G44" s="39">
        <f>D44+E44+F44</f>
        <v>216140</v>
      </c>
      <c r="H44" s="41">
        <v>451</v>
      </c>
      <c r="I44" s="42">
        <v>0</v>
      </c>
      <c r="J44" s="42">
        <v>0</v>
      </c>
      <c r="K44" s="42">
        <f>G44+H44+I44+J44</f>
        <v>216591</v>
      </c>
      <c r="L44" s="41">
        <v>0</v>
      </c>
      <c r="M44" s="41">
        <v>0</v>
      </c>
      <c r="N44" s="42">
        <f>K44+L44+M44</f>
        <v>216591</v>
      </c>
      <c r="O44" s="42">
        <v>240243</v>
      </c>
      <c r="P44" s="42">
        <v>-1216</v>
      </c>
      <c r="Q44" s="42">
        <v>5500</v>
      </c>
      <c r="R44" s="42">
        <f>O44+P44+Q44</f>
        <v>244527</v>
      </c>
      <c r="S44" s="44">
        <v>0</v>
      </c>
      <c r="T44" s="45"/>
      <c r="U44" s="45">
        <f>SUM(R44:T44)</f>
        <v>244527</v>
      </c>
      <c r="V44" s="44">
        <v>256245.81</v>
      </c>
      <c r="W44" s="44">
        <f>-407+2661</f>
        <v>2254</v>
      </c>
      <c r="X44" s="45">
        <v>0</v>
      </c>
      <c r="Y44" s="44">
        <v>0</v>
      </c>
      <c r="Z44" s="45">
        <f t="shared" si="19"/>
        <v>258499.81</v>
      </c>
      <c r="AA44" s="45">
        <f>-5200</f>
        <v>-5200</v>
      </c>
      <c r="AB44" s="45">
        <f>30+30</f>
        <v>60</v>
      </c>
      <c r="AC44" s="46">
        <f t="shared" si="11"/>
        <v>253359.81</v>
      </c>
      <c r="AD44" s="47">
        <v>-8079.96</v>
      </c>
      <c r="AE44" s="47">
        <v>0</v>
      </c>
      <c r="AF44" s="47">
        <f>SUM(AC44:AE44)</f>
        <v>245279.85</v>
      </c>
      <c r="AG44" s="44">
        <v>0</v>
      </c>
      <c r="AH44" s="44">
        <v>0</v>
      </c>
      <c r="AI44" s="34">
        <f>SUM(AF44:AH44)</f>
        <v>245279.85</v>
      </c>
    </row>
    <row r="45" spans="1:35" ht="15.75" thickBot="1" x14ac:dyDescent="0.3">
      <c r="A45" s="123" t="s">
        <v>86</v>
      </c>
      <c r="B45" s="155"/>
      <c r="C45" s="125">
        <f>C47+C49+C50+C52</f>
        <v>35826.839999999997</v>
      </c>
      <c r="D45" s="125">
        <f t="shared" ref="D45:J45" si="24">SUM(D47:D52)</f>
        <v>34889.32</v>
      </c>
      <c r="E45" s="125">
        <f t="shared" si="24"/>
        <v>340.43</v>
      </c>
      <c r="F45" s="125">
        <f t="shared" si="24"/>
        <v>-19.97</v>
      </c>
      <c r="G45" s="125">
        <f t="shared" si="24"/>
        <v>35209.78</v>
      </c>
      <c r="H45" s="125">
        <f t="shared" si="24"/>
        <v>-502.86</v>
      </c>
      <c r="I45" s="125">
        <f t="shared" si="24"/>
        <v>-500</v>
      </c>
      <c r="J45" s="125">
        <f t="shared" si="24"/>
        <v>0</v>
      </c>
      <c r="K45" s="156" t="e">
        <f>K47+K49+K50+#REF!+K52</f>
        <v>#REF!</v>
      </c>
      <c r="L45" s="156" t="e">
        <f>L47+L49+L50+#REF!+L52</f>
        <v>#REF!</v>
      </c>
      <c r="M45" s="156" t="e">
        <f>M47+M49+M50+#REF!+M52</f>
        <v>#REF!</v>
      </c>
      <c r="N45" s="156" t="e">
        <f>K45+L45+M45</f>
        <v>#REF!</v>
      </c>
      <c r="O45" s="156">
        <f t="shared" ref="O45:X45" si="25">SUM(O47:O52)</f>
        <v>35560.78</v>
      </c>
      <c r="P45" s="156">
        <f t="shared" si="25"/>
        <v>594.82000000000005</v>
      </c>
      <c r="Q45" s="156">
        <f t="shared" si="25"/>
        <v>6487.74</v>
      </c>
      <c r="R45" s="156">
        <f t="shared" si="25"/>
        <v>42643.34</v>
      </c>
      <c r="S45" s="128">
        <f t="shared" si="25"/>
        <v>-6610</v>
      </c>
      <c r="T45" s="129">
        <f t="shared" si="25"/>
        <v>-55</v>
      </c>
      <c r="U45" s="157">
        <f t="shared" si="25"/>
        <v>35978.339999999997</v>
      </c>
      <c r="V45" s="158">
        <f t="shared" si="25"/>
        <v>35406.15</v>
      </c>
      <c r="W45" s="128">
        <f t="shared" si="25"/>
        <v>-1291.48</v>
      </c>
      <c r="X45" s="129">
        <f t="shared" si="25"/>
        <v>0</v>
      </c>
      <c r="Y45" s="128">
        <f>SUM(Y47:Y52)</f>
        <v>2250</v>
      </c>
      <c r="Z45" s="129">
        <f>SUM(Z47:Z52)</f>
        <v>36364.67</v>
      </c>
      <c r="AA45" s="129">
        <f>SUM(AA47:AA52)</f>
        <v>8823.84</v>
      </c>
      <c r="AB45" s="129">
        <f>SUM(AB47:AB52)</f>
        <v>0</v>
      </c>
      <c r="AC45" s="129">
        <f t="shared" si="11"/>
        <v>45188.509999999995</v>
      </c>
      <c r="AD45" s="128">
        <f>SUM(AD47:AD52)</f>
        <v>-18667.870000000003</v>
      </c>
      <c r="AE45" s="128">
        <f>SUM(AE47:AE52)</f>
        <v>0</v>
      </c>
      <c r="AF45" s="128">
        <f>SUM(AF47:AF52)</f>
        <v>26520.639999999999</v>
      </c>
      <c r="AG45" s="128">
        <f>SUM(AG47:AG52)</f>
        <v>-4474.0199999999995</v>
      </c>
      <c r="AH45" s="128">
        <f>SUM(AH47:AH52)</f>
        <v>0</v>
      </c>
      <c r="AI45" s="128">
        <f>SUM(AF45:AH45)</f>
        <v>22046.62</v>
      </c>
    </row>
    <row r="46" spans="1:35" x14ac:dyDescent="0.25">
      <c r="A46" s="151" t="s">
        <v>59</v>
      </c>
      <c r="B46" s="137"/>
      <c r="C46" s="138"/>
      <c r="D46" s="22"/>
      <c r="E46" s="23"/>
      <c r="F46" s="23"/>
      <c r="G46" s="23"/>
      <c r="H46" s="24"/>
      <c r="I46" s="25"/>
      <c r="J46" s="25"/>
      <c r="K46" s="131"/>
      <c r="L46" s="132"/>
      <c r="M46" s="132"/>
      <c r="N46" s="131"/>
      <c r="O46" s="131"/>
      <c r="P46" s="131"/>
      <c r="Q46" s="131"/>
      <c r="R46" s="131"/>
      <c r="S46" s="133"/>
      <c r="T46" s="134"/>
      <c r="U46" s="134"/>
      <c r="V46" s="133"/>
      <c r="W46" s="133"/>
      <c r="X46" s="134"/>
      <c r="Y46" s="133"/>
      <c r="Z46" s="27"/>
      <c r="AA46" s="27"/>
      <c r="AB46" s="27"/>
      <c r="AC46" s="27"/>
      <c r="AD46" s="26"/>
      <c r="AE46" s="26"/>
      <c r="AF46" s="26"/>
      <c r="AG46" s="26"/>
      <c r="AH46" s="26"/>
      <c r="AI46" s="26"/>
    </row>
    <row r="47" spans="1:35" ht="17.25" customHeight="1" x14ac:dyDescent="0.25">
      <c r="A47" s="153" t="s">
        <v>87</v>
      </c>
      <c r="B47" s="141" t="s">
        <v>88</v>
      </c>
      <c r="C47" s="142">
        <v>10500</v>
      </c>
      <c r="D47" s="30">
        <v>10500</v>
      </c>
      <c r="E47" s="31">
        <v>0</v>
      </c>
      <c r="F47" s="31">
        <v>0</v>
      </c>
      <c r="G47" s="31">
        <f>D47+E47+F47</f>
        <v>10500</v>
      </c>
      <c r="H47" s="32">
        <v>0</v>
      </c>
      <c r="I47" s="33">
        <v>0</v>
      </c>
      <c r="J47" s="33">
        <v>0</v>
      </c>
      <c r="K47" s="33">
        <f>G47+H47+I47+J47</f>
        <v>10500</v>
      </c>
      <c r="L47" s="32">
        <v>0</v>
      </c>
      <c r="M47" s="32">
        <v>0</v>
      </c>
      <c r="N47" s="33">
        <f>K47+L47+M47</f>
        <v>10500</v>
      </c>
      <c r="O47" s="33">
        <v>11000</v>
      </c>
      <c r="P47" s="33">
        <v>0</v>
      </c>
      <c r="Q47" s="33">
        <v>0</v>
      </c>
      <c r="R47" s="33">
        <f>O47+P47+Q47</f>
        <v>11000</v>
      </c>
      <c r="S47" s="34">
        <v>0</v>
      </c>
      <c r="T47" s="35">
        <v>0</v>
      </c>
      <c r="U47" s="35">
        <f>SUM(R47:T47)</f>
        <v>11000</v>
      </c>
      <c r="V47" s="34">
        <v>11000</v>
      </c>
      <c r="W47" s="34">
        <f>490</f>
        <v>490</v>
      </c>
      <c r="X47" s="35">
        <v>0</v>
      </c>
      <c r="Y47" s="34">
        <v>0</v>
      </c>
      <c r="Z47" s="35">
        <f t="shared" si="19"/>
        <v>11490</v>
      </c>
      <c r="AA47" s="35">
        <v>0</v>
      </c>
      <c r="AB47" s="35">
        <v>0</v>
      </c>
      <c r="AC47" s="27">
        <f t="shared" si="11"/>
        <v>11490</v>
      </c>
      <c r="AD47" s="26">
        <v>0</v>
      </c>
      <c r="AE47" s="26">
        <v>0</v>
      </c>
      <c r="AF47" s="26">
        <f t="shared" ref="AF47:AF52" si="26">SUM(AC47:AE47)</f>
        <v>11490</v>
      </c>
      <c r="AG47" s="34">
        <f>3829.89</f>
        <v>3829.89</v>
      </c>
      <c r="AH47" s="34">
        <v>0</v>
      </c>
      <c r="AI47" s="34">
        <f>SUM(AF47:AH47)</f>
        <v>15319.89</v>
      </c>
    </row>
    <row r="48" spans="1:35" ht="24.75" customHeight="1" x14ac:dyDescent="0.25">
      <c r="A48" s="153" t="s">
        <v>89</v>
      </c>
      <c r="B48" s="141" t="s">
        <v>90</v>
      </c>
      <c r="C48" s="142"/>
      <c r="D48" s="30"/>
      <c r="E48" s="31"/>
      <c r="F48" s="31"/>
      <c r="G48" s="31"/>
      <c r="H48" s="32"/>
      <c r="I48" s="33"/>
      <c r="J48" s="33"/>
      <c r="K48" s="33"/>
      <c r="L48" s="32"/>
      <c r="M48" s="32"/>
      <c r="N48" s="33"/>
      <c r="O48" s="33"/>
      <c r="P48" s="33"/>
      <c r="Q48" s="33"/>
      <c r="R48" s="33"/>
      <c r="S48" s="34"/>
      <c r="T48" s="35"/>
      <c r="U48" s="35"/>
      <c r="V48" s="34">
        <v>0</v>
      </c>
      <c r="W48" s="34">
        <f>20</f>
        <v>20</v>
      </c>
      <c r="X48" s="35">
        <v>0</v>
      </c>
      <c r="Y48" s="34">
        <v>0</v>
      </c>
      <c r="Z48" s="35">
        <f t="shared" si="19"/>
        <v>20</v>
      </c>
      <c r="AA48" s="35">
        <v>0</v>
      </c>
      <c r="AB48" s="35">
        <v>0</v>
      </c>
      <c r="AC48" s="27">
        <f t="shared" si="11"/>
        <v>20</v>
      </c>
      <c r="AD48" s="26">
        <v>0</v>
      </c>
      <c r="AE48" s="26">
        <v>0</v>
      </c>
      <c r="AF48" s="26">
        <f t="shared" si="26"/>
        <v>20</v>
      </c>
      <c r="AG48" s="34">
        <v>0</v>
      </c>
      <c r="AH48" s="34">
        <v>0</v>
      </c>
      <c r="AI48" s="34">
        <f t="shared" ref="AI48:AI50" si="27">SUM(AF48:AH48)</f>
        <v>20</v>
      </c>
    </row>
    <row r="49" spans="1:35" ht="15.75" customHeight="1" x14ac:dyDescent="0.25">
      <c r="A49" s="153" t="s">
        <v>91</v>
      </c>
      <c r="B49" s="141"/>
      <c r="C49" s="142">
        <v>1766.27</v>
      </c>
      <c r="D49" s="30">
        <v>2000</v>
      </c>
      <c r="E49" s="31">
        <v>0</v>
      </c>
      <c r="F49" s="31">
        <v>-19.97</v>
      </c>
      <c r="G49" s="31">
        <f>D49+E49+F49</f>
        <v>1980.03</v>
      </c>
      <c r="H49" s="32">
        <f>28.06-430</f>
        <v>-401.94</v>
      </c>
      <c r="I49" s="33">
        <v>-500</v>
      </c>
      <c r="J49" s="33">
        <v>0</v>
      </c>
      <c r="K49" s="33">
        <f>G49+H49+I49+J49</f>
        <v>1078.0899999999999</v>
      </c>
      <c r="L49" s="32">
        <v>0</v>
      </c>
      <c r="M49" s="32">
        <f>-169.32-200</f>
        <v>-369.32</v>
      </c>
      <c r="N49" s="33">
        <f>K49+L49+M49</f>
        <v>708.77</v>
      </c>
      <c r="O49" s="33">
        <v>2145.7800000000002</v>
      </c>
      <c r="P49" s="33">
        <v>0</v>
      </c>
      <c r="Q49" s="33">
        <v>6487.74</v>
      </c>
      <c r="R49" s="33">
        <f>O49+P49+Q49</f>
        <v>8633.52</v>
      </c>
      <c r="S49" s="34">
        <v>-6500</v>
      </c>
      <c r="T49" s="35">
        <f>-55</f>
        <v>-55</v>
      </c>
      <c r="U49" s="35">
        <f>SUM(R49:T49)</f>
        <v>2078.5200000000004</v>
      </c>
      <c r="V49" s="34">
        <v>2320.15</v>
      </c>
      <c r="W49" s="34">
        <f>-2000-795+818.29-75</f>
        <v>-2051.71</v>
      </c>
      <c r="X49" s="35">
        <v>0</v>
      </c>
      <c r="Y49" s="34">
        <f>2250</f>
        <v>2250</v>
      </c>
      <c r="Z49" s="35">
        <f t="shared" si="19"/>
        <v>2518.44</v>
      </c>
      <c r="AA49" s="35">
        <v>0</v>
      </c>
      <c r="AB49" s="35">
        <v>0</v>
      </c>
      <c r="AC49" s="27">
        <f t="shared" si="11"/>
        <v>2518.44</v>
      </c>
      <c r="AD49" s="26">
        <v>160.63</v>
      </c>
      <c r="AE49" s="26">
        <v>0</v>
      </c>
      <c r="AF49" s="26">
        <f t="shared" si="26"/>
        <v>2679.07</v>
      </c>
      <c r="AG49" s="34">
        <f>170.11+449-0.02-280+150.9</f>
        <v>489.99</v>
      </c>
      <c r="AH49" s="34">
        <v>0</v>
      </c>
      <c r="AI49" s="34">
        <f t="shared" si="27"/>
        <v>3169.0600000000004</v>
      </c>
    </row>
    <row r="50" spans="1:35" x14ac:dyDescent="0.25">
      <c r="A50" s="153" t="s">
        <v>92</v>
      </c>
      <c r="B50" s="141"/>
      <c r="C50" s="142">
        <v>200</v>
      </c>
      <c r="D50" s="30">
        <v>200</v>
      </c>
      <c r="E50" s="31">
        <v>0</v>
      </c>
      <c r="F50" s="31">
        <v>0</v>
      </c>
      <c r="G50" s="31">
        <f>D50+E50+F50</f>
        <v>200</v>
      </c>
      <c r="H50" s="32">
        <v>0</v>
      </c>
      <c r="I50" s="33">
        <v>0</v>
      </c>
      <c r="J50" s="33">
        <v>0</v>
      </c>
      <c r="K50" s="33">
        <f>G50+H50+I50+J50</f>
        <v>200</v>
      </c>
      <c r="L50" s="32">
        <v>0</v>
      </c>
      <c r="M50" s="32">
        <v>0</v>
      </c>
      <c r="N50" s="33">
        <f>K50+L50+M50</f>
        <v>200</v>
      </c>
      <c r="O50" s="33">
        <v>200</v>
      </c>
      <c r="P50" s="33">
        <v>0</v>
      </c>
      <c r="Q50" s="33">
        <v>0</v>
      </c>
      <c r="R50" s="33">
        <f>O50+P50+Q50</f>
        <v>200</v>
      </c>
      <c r="S50" s="34">
        <v>0</v>
      </c>
      <c r="T50" s="35">
        <v>0</v>
      </c>
      <c r="U50" s="35">
        <f>SUM(R50:T50)</f>
        <v>200</v>
      </c>
      <c r="V50" s="34">
        <v>200</v>
      </c>
      <c r="W50" s="34">
        <v>0</v>
      </c>
      <c r="X50" s="35">
        <v>0</v>
      </c>
      <c r="Y50" s="34">
        <v>0</v>
      </c>
      <c r="Z50" s="35">
        <f t="shared" si="19"/>
        <v>200</v>
      </c>
      <c r="AA50" s="35">
        <v>0</v>
      </c>
      <c r="AB50" s="35">
        <v>0</v>
      </c>
      <c r="AC50" s="27">
        <f t="shared" si="11"/>
        <v>200</v>
      </c>
      <c r="AD50" s="26">
        <v>0</v>
      </c>
      <c r="AE50" s="26">
        <v>0</v>
      </c>
      <c r="AF50" s="26">
        <f t="shared" si="26"/>
        <v>200</v>
      </c>
      <c r="AG50" s="34">
        <v>0</v>
      </c>
      <c r="AH50" s="34">
        <v>0</v>
      </c>
      <c r="AI50" s="34">
        <f t="shared" si="27"/>
        <v>200</v>
      </c>
    </row>
    <row r="51" spans="1:35" x14ac:dyDescent="0.25">
      <c r="A51" s="153" t="s">
        <v>93</v>
      </c>
      <c r="B51" s="141"/>
      <c r="C51" s="142"/>
      <c r="D51" s="30"/>
      <c r="E51" s="31"/>
      <c r="F51" s="31"/>
      <c r="G51" s="31"/>
      <c r="H51" s="32"/>
      <c r="I51" s="33"/>
      <c r="J51" s="33"/>
      <c r="K51" s="33"/>
      <c r="L51" s="32"/>
      <c r="M51" s="32"/>
      <c r="N51" s="33"/>
      <c r="O51" s="33"/>
      <c r="P51" s="33"/>
      <c r="Q51" s="33"/>
      <c r="R51" s="33"/>
      <c r="S51" s="34"/>
      <c r="T51" s="35"/>
      <c r="U51" s="35"/>
      <c r="V51" s="34">
        <v>0</v>
      </c>
      <c r="W51" s="44"/>
      <c r="X51" s="45"/>
      <c r="Y51" s="44"/>
      <c r="Z51" s="45">
        <v>0</v>
      </c>
      <c r="AA51" s="45">
        <f>10000</f>
        <v>10000</v>
      </c>
      <c r="AB51" s="45">
        <v>0</v>
      </c>
      <c r="AC51" s="27">
        <f t="shared" si="11"/>
        <v>10000</v>
      </c>
      <c r="AD51" s="26">
        <f>-1206.1</f>
        <v>-1206.0999999999999</v>
      </c>
      <c r="AE51" s="26">
        <v>0</v>
      </c>
      <c r="AF51" s="26">
        <f t="shared" si="26"/>
        <v>8793.9</v>
      </c>
      <c r="AG51" s="34">
        <f>-8793.9</f>
        <v>-8793.9</v>
      </c>
      <c r="AH51" s="34">
        <v>0</v>
      </c>
      <c r="AI51" s="34">
        <f>SUM(AF51:AH51)</f>
        <v>0</v>
      </c>
    </row>
    <row r="52" spans="1:35" ht="15.75" thickBot="1" x14ac:dyDescent="0.3">
      <c r="A52" s="154" t="s">
        <v>94</v>
      </c>
      <c r="B52" s="147"/>
      <c r="C52" s="148">
        <v>23360.57</v>
      </c>
      <c r="D52" s="38">
        <v>22189.32</v>
      </c>
      <c r="E52" s="39">
        <f>340.39+0.04</f>
        <v>340.43</v>
      </c>
      <c r="F52" s="39">
        <v>0</v>
      </c>
      <c r="G52" s="39">
        <f>D52+E52+F52</f>
        <v>22529.75</v>
      </c>
      <c r="H52" s="41">
        <v>-100.92</v>
      </c>
      <c r="I52" s="42">
        <v>0</v>
      </c>
      <c r="J52" s="42">
        <v>0</v>
      </c>
      <c r="K52" s="42">
        <f>G52+H52+I52+J52</f>
        <v>22428.83</v>
      </c>
      <c r="L52" s="41">
        <v>0</v>
      </c>
      <c r="M52" s="41">
        <v>0</v>
      </c>
      <c r="N52" s="42">
        <f>K52+L52+M52</f>
        <v>22428.83</v>
      </c>
      <c r="O52" s="42">
        <v>22215</v>
      </c>
      <c r="P52" s="42">
        <v>594.82000000000005</v>
      </c>
      <c r="Q52" s="42">
        <v>0</v>
      </c>
      <c r="R52" s="42">
        <f>O52+P52+Q52</f>
        <v>22809.82</v>
      </c>
      <c r="S52" s="44">
        <v>-110</v>
      </c>
      <c r="T52" s="45">
        <v>0</v>
      </c>
      <c r="U52" s="45">
        <f>SUM(R52:T52)</f>
        <v>22699.82</v>
      </c>
      <c r="V52" s="44">
        <v>21886</v>
      </c>
      <c r="W52" s="44">
        <f>270.23-20</f>
        <v>250.23000000000002</v>
      </c>
      <c r="X52" s="45">
        <v>0</v>
      </c>
      <c r="Y52" s="44">
        <v>0</v>
      </c>
      <c r="Z52" s="45">
        <f t="shared" si="19"/>
        <v>22136.23</v>
      </c>
      <c r="AA52" s="45">
        <f>-1176.16</f>
        <v>-1176.1600000000001</v>
      </c>
      <c r="AB52" s="45">
        <v>0</v>
      </c>
      <c r="AC52" s="45">
        <f t="shared" si="11"/>
        <v>20960.07</v>
      </c>
      <c r="AD52" s="44">
        <v>-17622.400000000001</v>
      </c>
      <c r="AE52" s="44">
        <v>0</v>
      </c>
      <c r="AF52" s="47">
        <f t="shared" si="26"/>
        <v>3337.6699999999983</v>
      </c>
      <c r="AG52" s="44">
        <v>0</v>
      </c>
      <c r="AH52" s="44">
        <v>0</v>
      </c>
      <c r="AI52" s="34">
        <f>SUM(AF52:AH52)</f>
        <v>3337.6699999999983</v>
      </c>
    </row>
    <row r="53" spans="1:35" ht="15.75" thickBot="1" x14ac:dyDescent="0.3">
      <c r="A53" s="123" t="s">
        <v>95</v>
      </c>
      <c r="B53" s="150"/>
      <c r="C53" s="125">
        <f>C56+C57+C58+C59</f>
        <v>104053.15000000001</v>
      </c>
      <c r="D53" s="125">
        <f>D56+D57+D58+D59</f>
        <v>100576.47</v>
      </c>
      <c r="E53" s="125">
        <f t="shared" ref="E53:J53" si="28">E56+E57+E58+E59</f>
        <v>-77.099999999999909</v>
      </c>
      <c r="F53" s="125">
        <f t="shared" si="28"/>
        <v>12157.1</v>
      </c>
      <c r="G53" s="125">
        <f t="shared" si="28"/>
        <v>112497.57</v>
      </c>
      <c r="H53" s="125">
        <f t="shared" si="28"/>
        <v>1137</v>
      </c>
      <c r="I53" s="125">
        <f t="shared" si="28"/>
        <v>0</v>
      </c>
      <c r="J53" s="125">
        <f t="shared" si="28"/>
        <v>261.2</v>
      </c>
      <c r="K53" s="156">
        <f>G53+H53+I53+J53</f>
        <v>113895.77</v>
      </c>
      <c r="L53" s="159">
        <f t="shared" ref="L53:R53" si="29">L56+L57+L58+L59</f>
        <v>-606.49</v>
      </c>
      <c r="M53" s="159">
        <f t="shared" si="29"/>
        <v>7658</v>
      </c>
      <c r="N53" s="156">
        <f t="shared" si="29"/>
        <v>120947.28</v>
      </c>
      <c r="O53" s="156">
        <f t="shared" si="29"/>
        <v>118522.31</v>
      </c>
      <c r="P53" s="156">
        <f t="shared" si="29"/>
        <v>144.14999999999998</v>
      </c>
      <c r="Q53" s="156">
        <f t="shared" si="29"/>
        <v>15429</v>
      </c>
      <c r="R53" s="156">
        <f t="shared" si="29"/>
        <v>134217.25000000003</v>
      </c>
      <c r="S53" s="128">
        <f>SUM(S56:S59)</f>
        <v>1468</v>
      </c>
      <c r="T53" s="129">
        <f t="shared" ref="T53:Y53" si="30">SUM(T55:T59)</f>
        <v>1100.71</v>
      </c>
      <c r="U53" s="129">
        <f t="shared" si="30"/>
        <v>136785.96000000002</v>
      </c>
      <c r="V53" s="128">
        <f t="shared" si="30"/>
        <v>139078</v>
      </c>
      <c r="W53" s="128">
        <f t="shared" si="30"/>
        <v>8905.49</v>
      </c>
      <c r="X53" s="129">
        <f t="shared" si="30"/>
        <v>0</v>
      </c>
      <c r="Y53" s="128">
        <f t="shared" si="30"/>
        <v>250.89</v>
      </c>
      <c r="Z53" s="129">
        <f>SUM(V53:Y53)</f>
        <v>148234.38</v>
      </c>
      <c r="AA53" s="129">
        <f>SUM(AA55:AA59)</f>
        <v>-9880</v>
      </c>
      <c r="AB53" s="129">
        <f>SUM(AB55:AB59)</f>
        <v>482.20000000000005</v>
      </c>
      <c r="AC53" s="129">
        <f t="shared" si="11"/>
        <v>138836.58000000002</v>
      </c>
      <c r="AD53" s="128">
        <f>SUM(AD55:AD59)</f>
        <v>-4264.8999999999996</v>
      </c>
      <c r="AE53" s="128">
        <f>SUM(AE55:AE59)</f>
        <v>-996.03999999999985</v>
      </c>
      <c r="AF53" s="128">
        <f>SUM(AF55:AF59)</f>
        <v>133541.49000000002</v>
      </c>
      <c r="AG53" s="128">
        <f>SUM(AG55:AG59)</f>
        <v>2735</v>
      </c>
      <c r="AH53" s="128">
        <f>SUM(AH55:AH59)</f>
        <v>0</v>
      </c>
      <c r="AI53" s="128">
        <f>SUM(AF53:AH53)</f>
        <v>136276.49000000002</v>
      </c>
    </row>
    <row r="54" spans="1:35" x14ac:dyDescent="0.25">
      <c r="A54" s="151" t="s">
        <v>59</v>
      </c>
      <c r="B54" s="137"/>
      <c r="C54" s="138"/>
      <c r="D54" s="22"/>
      <c r="E54" s="23"/>
      <c r="F54" s="23"/>
      <c r="G54" s="23"/>
      <c r="H54" s="24"/>
      <c r="I54" s="25"/>
      <c r="J54" s="25"/>
      <c r="K54" s="131"/>
      <c r="L54" s="132"/>
      <c r="M54" s="132"/>
      <c r="N54" s="131"/>
      <c r="O54" s="131"/>
      <c r="P54" s="131"/>
      <c r="Q54" s="131"/>
      <c r="R54" s="131"/>
      <c r="S54" s="133"/>
      <c r="T54" s="134"/>
      <c r="U54" s="134"/>
      <c r="V54" s="26"/>
      <c r="W54" s="26"/>
      <c r="X54" s="27"/>
      <c r="Y54" s="26"/>
      <c r="Z54" s="27"/>
      <c r="AA54" s="27"/>
      <c r="AB54" s="27"/>
      <c r="AC54" s="27"/>
      <c r="AD54" s="26"/>
      <c r="AE54" s="26"/>
      <c r="AF54" s="26"/>
      <c r="AG54" s="26"/>
      <c r="AH54" s="26"/>
      <c r="AI54" s="26"/>
    </row>
    <row r="55" spans="1:35" ht="26.25" customHeight="1" x14ac:dyDescent="0.25">
      <c r="A55" s="151" t="s">
        <v>96</v>
      </c>
      <c r="B55" s="137"/>
      <c r="C55" s="138"/>
      <c r="D55" s="22"/>
      <c r="E55" s="23"/>
      <c r="F55" s="23"/>
      <c r="G55" s="23"/>
      <c r="H55" s="24"/>
      <c r="I55" s="25"/>
      <c r="J55" s="25"/>
      <c r="K55" s="131"/>
      <c r="L55" s="132"/>
      <c r="M55" s="132"/>
      <c r="N55" s="131"/>
      <c r="O55" s="25">
        <v>0</v>
      </c>
      <c r="P55" s="25"/>
      <c r="Q55" s="25"/>
      <c r="R55" s="25">
        <v>0</v>
      </c>
      <c r="S55" s="22">
        <v>0</v>
      </c>
      <c r="T55" s="25">
        <f>94</f>
        <v>94</v>
      </c>
      <c r="U55" s="25">
        <f>SUM(R55:T55)</f>
        <v>94</v>
      </c>
      <c r="V55" s="34">
        <v>0</v>
      </c>
      <c r="W55" s="34">
        <v>0</v>
      </c>
      <c r="X55" s="35">
        <v>0</v>
      </c>
      <c r="Y55" s="34">
        <v>0</v>
      </c>
      <c r="Z55" s="35">
        <f t="shared" ref="Z55:AA59" si="31">SUM(V55:Y55)</f>
        <v>0</v>
      </c>
      <c r="AA55" s="35">
        <f t="shared" si="31"/>
        <v>0</v>
      </c>
      <c r="AB55" s="35">
        <f>765</f>
        <v>765</v>
      </c>
      <c r="AC55" s="27">
        <f t="shared" si="11"/>
        <v>765</v>
      </c>
      <c r="AD55" s="26">
        <v>0</v>
      </c>
      <c r="AE55" s="26">
        <v>0</v>
      </c>
      <c r="AF55" s="26">
        <f>SUM(AC55:AE55)</f>
        <v>765</v>
      </c>
      <c r="AG55" s="34">
        <v>0</v>
      </c>
      <c r="AH55" s="34">
        <v>0</v>
      </c>
      <c r="AI55" s="34">
        <f>SUM(AF55:AH55)</f>
        <v>765</v>
      </c>
    </row>
    <row r="56" spans="1:35" ht="14.25" customHeight="1" x14ac:dyDescent="0.25">
      <c r="A56" s="153" t="s">
        <v>97</v>
      </c>
      <c r="B56" s="141"/>
      <c r="C56" s="160">
        <v>1</v>
      </c>
      <c r="D56" s="32">
        <v>401</v>
      </c>
      <c r="E56" s="33">
        <v>0</v>
      </c>
      <c r="F56" s="33">
        <v>0</v>
      </c>
      <c r="G56" s="33">
        <f>D56+E56+F56</f>
        <v>401</v>
      </c>
      <c r="H56" s="32">
        <v>-400</v>
      </c>
      <c r="I56" s="33">
        <v>0</v>
      </c>
      <c r="J56" s="33">
        <v>0</v>
      </c>
      <c r="K56" s="33">
        <f>G56+H56+I56+J56</f>
        <v>1</v>
      </c>
      <c r="L56" s="32">
        <v>0</v>
      </c>
      <c r="M56" s="32">
        <v>0</v>
      </c>
      <c r="N56" s="33">
        <f>K56+L56+M56</f>
        <v>1</v>
      </c>
      <c r="O56" s="33">
        <v>401</v>
      </c>
      <c r="P56" s="33">
        <v>0</v>
      </c>
      <c r="Q56" s="33">
        <v>0</v>
      </c>
      <c r="R56" s="33">
        <f>O56+P56+Q56</f>
        <v>401</v>
      </c>
      <c r="S56" s="34">
        <v>-400</v>
      </c>
      <c r="T56" s="35">
        <v>0</v>
      </c>
      <c r="U56" s="35">
        <f>SUM(R56:T56)</f>
        <v>1</v>
      </c>
      <c r="V56" s="34">
        <v>701</v>
      </c>
      <c r="W56" s="34">
        <v>0</v>
      </c>
      <c r="X56" s="35">
        <v>0</v>
      </c>
      <c r="Y56" s="34">
        <v>0</v>
      </c>
      <c r="Z56" s="35">
        <f t="shared" si="31"/>
        <v>701</v>
      </c>
      <c r="AA56" s="35">
        <f>-700</f>
        <v>-700</v>
      </c>
      <c r="AB56" s="35">
        <v>0</v>
      </c>
      <c r="AC56" s="27">
        <f t="shared" si="11"/>
        <v>1</v>
      </c>
      <c r="AD56" s="26">
        <v>0</v>
      </c>
      <c r="AE56" s="26">
        <v>0</v>
      </c>
      <c r="AF56" s="26">
        <f>SUM(AC56:AE56)</f>
        <v>1</v>
      </c>
      <c r="AG56" s="34">
        <v>0</v>
      </c>
      <c r="AH56" s="34">
        <v>0</v>
      </c>
      <c r="AI56" s="34">
        <f t="shared" ref="AI56:AI58" si="32">SUM(AF56:AH56)</f>
        <v>1</v>
      </c>
    </row>
    <row r="57" spans="1:35" ht="28.5" customHeight="1" x14ac:dyDescent="0.25">
      <c r="A57" s="153" t="s">
        <v>98</v>
      </c>
      <c r="B57" s="141"/>
      <c r="C57" s="30">
        <v>267.05</v>
      </c>
      <c r="D57" s="30">
        <v>147.47</v>
      </c>
      <c r="E57" s="31">
        <v>0</v>
      </c>
      <c r="F57" s="31">
        <v>0</v>
      </c>
      <c r="G57" s="33">
        <f>D57+E57+F57</f>
        <v>147.47</v>
      </c>
      <c r="H57" s="32">
        <v>0</v>
      </c>
      <c r="I57" s="33">
        <v>0</v>
      </c>
      <c r="J57" s="33">
        <v>0</v>
      </c>
      <c r="K57" s="33">
        <f>G57+H57+I57+J57</f>
        <v>147.47</v>
      </c>
      <c r="L57" s="32">
        <v>0</v>
      </c>
      <c r="M57" s="32">
        <v>0</v>
      </c>
      <c r="N57" s="33">
        <f>K57+L57+M57</f>
        <v>147.47</v>
      </c>
      <c r="O57" s="33">
        <v>0.01</v>
      </c>
      <c r="P57" s="33">
        <v>0</v>
      </c>
      <c r="Q57" s="33">
        <v>0</v>
      </c>
      <c r="R57" s="33">
        <f>O57+P57+Q57</f>
        <v>0.01</v>
      </c>
      <c r="S57" s="32">
        <v>0</v>
      </c>
      <c r="T57" s="33">
        <v>0</v>
      </c>
      <c r="U57" s="33">
        <f>SUM(R57:T57)</f>
        <v>0.01</v>
      </c>
      <c r="V57" s="34">
        <v>0</v>
      </c>
      <c r="W57" s="34">
        <v>0</v>
      </c>
      <c r="X57" s="35">
        <v>0</v>
      </c>
      <c r="Y57" s="34">
        <v>0</v>
      </c>
      <c r="Z57" s="35">
        <f t="shared" si="31"/>
        <v>0</v>
      </c>
      <c r="AA57" s="35">
        <f t="shared" si="31"/>
        <v>0</v>
      </c>
      <c r="AB57" s="35">
        <v>0</v>
      </c>
      <c r="AC57" s="27">
        <f t="shared" si="11"/>
        <v>0</v>
      </c>
      <c r="AD57" s="26">
        <v>0</v>
      </c>
      <c r="AE57" s="26">
        <v>0</v>
      </c>
      <c r="AF57" s="26">
        <f>SUM(AC57:AE57)</f>
        <v>0</v>
      </c>
      <c r="AG57" s="34">
        <v>0</v>
      </c>
      <c r="AH57" s="34">
        <v>0</v>
      </c>
      <c r="AI57" s="34">
        <f t="shared" si="32"/>
        <v>0</v>
      </c>
    </row>
    <row r="58" spans="1:35" x14ac:dyDescent="0.25">
      <c r="A58" s="153" t="s">
        <v>83</v>
      </c>
      <c r="B58" s="141"/>
      <c r="C58" s="30">
        <v>32988</v>
      </c>
      <c r="D58" s="30">
        <v>30547</v>
      </c>
      <c r="E58" s="31">
        <f>-331-119-175-125-32.3</f>
        <v>-782.3</v>
      </c>
      <c r="F58" s="31">
        <v>10419</v>
      </c>
      <c r="G58" s="33">
        <f>D58+E58+F58+82.5+267.6</f>
        <v>40533.799999999996</v>
      </c>
      <c r="H58" s="32">
        <v>557</v>
      </c>
      <c r="I58" s="33">
        <v>0</v>
      </c>
      <c r="J58" s="33">
        <v>228.2</v>
      </c>
      <c r="K58" s="33">
        <f>G58+H58+I58+J58</f>
        <v>41318.999999999993</v>
      </c>
      <c r="L58" s="32">
        <f>609.51+26</f>
        <v>635.51</v>
      </c>
      <c r="M58" s="32">
        <v>7450</v>
      </c>
      <c r="N58" s="33">
        <f>K58+L58+M58</f>
        <v>49404.509999999995</v>
      </c>
      <c r="O58" s="33">
        <v>43222</v>
      </c>
      <c r="P58" s="33">
        <f>-585.2-86-280.5-129.8+1063.6-600-5.89-150.66</f>
        <v>-774.45</v>
      </c>
      <c r="Q58" s="33">
        <v>14022</v>
      </c>
      <c r="R58" s="33">
        <f>O58+P58+Q58-94.5-222-232.27+571.68</f>
        <v>56492.460000000006</v>
      </c>
      <c r="S58" s="34">
        <v>1157</v>
      </c>
      <c r="T58" s="35">
        <f>824.94</f>
        <v>824.94</v>
      </c>
      <c r="U58" s="35">
        <f>SUM(R58:T58)</f>
        <v>58474.400000000009</v>
      </c>
      <c r="V58" s="34">
        <v>57175</v>
      </c>
      <c r="W58" s="34">
        <f>-436.17+0-44.71+0+1960+221.4-76.13+6211.58</f>
        <v>7835.9699999999993</v>
      </c>
      <c r="X58" s="35">
        <v>0</v>
      </c>
      <c r="Y58" s="34">
        <f>12.4+12.3+6.05</f>
        <v>30.750000000000004</v>
      </c>
      <c r="Z58" s="35">
        <f t="shared" si="31"/>
        <v>65041.72</v>
      </c>
      <c r="AA58" s="35">
        <f>-7360</f>
        <v>-7360</v>
      </c>
      <c r="AB58" s="35">
        <f>-188.3-93.6-120</f>
        <v>-401.9</v>
      </c>
      <c r="AC58" s="27">
        <f t="shared" si="11"/>
        <v>57279.82</v>
      </c>
      <c r="AD58" s="26">
        <f>498+1706.1</f>
        <v>2204.1</v>
      </c>
      <c r="AE58" s="26">
        <f>-291-209.69-816.66+264.21</f>
        <v>-1053.1399999999999</v>
      </c>
      <c r="AF58" s="26">
        <f>SUM(AC58:AE58)+22.85</f>
        <v>58453.63</v>
      </c>
      <c r="AG58" s="34">
        <f>2800-65</f>
        <v>2735</v>
      </c>
      <c r="AH58" s="34">
        <v>0</v>
      </c>
      <c r="AI58" s="34">
        <f t="shared" si="32"/>
        <v>61188.63</v>
      </c>
    </row>
    <row r="59" spans="1:35" ht="27" customHeight="1" thickBot="1" x14ac:dyDescent="0.3">
      <c r="A59" s="154" t="s">
        <v>99</v>
      </c>
      <c r="B59" s="147"/>
      <c r="C59" s="38">
        <v>70797.100000000006</v>
      </c>
      <c r="D59" s="38">
        <v>69481</v>
      </c>
      <c r="E59" s="39">
        <f>23.2+119+329+140+94</f>
        <v>705.2</v>
      </c>
      <c r="F59" s="39">
        <f>1738.1</f>
        <v>1738.1</v>
      </c>
      <c r="G59" s="42">
        <f>D59+E59+F59-509</f>
        <v>71415.3</v>
      </c>
      <c r="H59" s="41">
        <v>980</v>
      </c>
      <c r="I59" s="42">
        <v>0</v>
      </c>
      <c r="J59" s="42">
        <v>33</v>
      </c>
      <c r="K59" s="42">
        <f>G59+H59+I59+J59</f>
        <v>72428.3</v>
      </c>
      <c r="L59" s="41">
        <v>-1242</v>
      </c>
      <c r="M59" s="41">
        <v>208</v>
      </c>
      <c r="N59" s="42">
        <f>K59+L59+M59</f>
        <v>71394.3</v>
      </c>
      <c r="O59" s="42">
        <v>74899.3</v>
      </c>
      <c r="P59" s="42">
        <f>-124-70.5-18.3-36+28+600-337.5-18.1+895</f>
        <v>918.6</v>
      </c>
      <c r="Q59" s="42">
        <v>1407</v>
      </c>
      <c r="R59" s="42">
        <f>O59+P59+Q59+139.5+80+30-150.62</f>
        <v>77323.780000000013</v>
      </c>
      <c r="S59" s="44">
        <v>711</v>
      </c>
      <c r="T59" s="45">
        <f>181.77</f>
        <v>181.77</v>
      </c>
      <c r="U59" s="45">
        <f>SUM(R59:T59)</f>
        <v>78216.550000000017</v>
      </c>
      <c r="V59" s="44">
        <v>81202</v>
      </c>
      <c r="W59" s="44">
        <f>-15-25+1109.52</f>
        <v>1069.52</v>
      </c>
      <c r="X59" s="45">
        <v>0</v>
      </c>
      <c r="Y59" s="44">
        <f>-7+227.14</f>
        <v>220.14</v>
      </c>
      <c r="Z59" s="45">
        <f t="shared" si="31"/>
        <v>82491.66</v>
      </c>
      <c r="AA59" s="45">
        <f>-1820</f>
        <v>-1820</v>
      </c>
      <c r="AB59" s="45">
        <f>-2+120+1.1</f>
        <v>119.1</v>
      </c>
      <c r="AC59" s="45">
        <f t="shared" si="11"/>
        <v>80790.760000000009</v>
      </c>
      <c r="AD59" s="44">
        <v>-6469</v>
      </c>
      <c r="AE59" s="44">
        <f>10.7+68.4+322-344</f>
        <v>57.100000000000023</v>
      </c>
      <c r="AF59" s="44">
        <f>SUM(AC59:AE59)-57</f>
        <v>74321.860000000015</v>
      </c>
      <c r="AG59" s="44">
        <v>0</v>
      </c>
      <c r="AH59" s="44">
        <v>0</v>
      </c>
      <c r="AI59" s="44">
        <f>SUM(AF59:AH59)</f>
        <v>74321.860000000015</v>
      </c>
    </row>
    <row r="60" spans="1:35" ht="15.75" thickBot="1" x14ac:dyDescent="0.3">
      <c r="A60" s="123" t="s">
        <v>100</v>
      </c>
      <c r="B60" s="155"/>
      <c r="C60" s="125">
        <f>C62+C64</f>
        <v>1497.8</v>
      </c>
      <c r="D60" s="125">
        <f>SUM(D62:D64)</f>
        <v>1472</v>
      </c>
      <c r="E60" s="125">
        <f t="shared" ref="E60:J60" si="33">SUM(E62:E64)</f>
        <v>0</v>
      </c>
      <c r="F60" s="125">
        <f t="shared" si="33"/>
        <v>220</v>
      </c>
      <c r="G60" s="125">
        <f t="shared" si="33"/>
        <v>1692</v>
      </c>
      <c r="H60" s="125">
        <f t="shared" si="33"/>
        <v>0</v>
      </c>
      <c r="I60" s="125">
        <f t="shared" si="33"/>
        <v>0</v>
      </c>
      <c r="J60" s="125">
        <f t="shared" si="33"/>
        <v>0</v>
      </c>
      <c r="K60" s="156">
        <f>K62+K63+K64</f>
        <v>1692</v>
      </c>
      <c r="L60" s="156">
        <f t="shared" ref="L60:R60" si="34">L62+L63+L64</f>
        <v>0</v>
      </c>
      <c r="M60" s="156">
        <f t="shared" si="34"/>
        <v>0</v>
      </c>
      <c r="N60" s="156">
        <f t="shared" si="34"/>
        <v>1692</v>
      </c>
      <c r="O60" s="156">
        <f t="shared" si="34"/>
        <v>1979.62</v>
      </c>
      <c r="P60" s="156">
        <f t="shared" si="34"/>
        <v>0</v>
      </c>
      <c r="Q60" s="156">
        <f t="shared" si="34"/>
        <v>266</v>
      </c>
      <c r="R60" s="156">
        <f t="shared" si="34"/>
        <v>2245.62</v>
      </c>
      <c r="S60" s="128">
        <f t="shared" ref="S60:AA60" si="35">SUM(S62:S64)</f>
        <v>0</v>
      </c>
      <c r="T60" s="129">
        <f t="shared" si="35"/>
        <v>0</v>
      </c>
      <c r="U60" s="129">
        <f t="shared" si="35"/>
        <v>2245.62</v>
      </c>
      <c r="V60" s="128">
        <f t="shared" si="35"/>
        <v>1945.42</v>
      </c>
      <c r="W60" s="128">
        <f t="shared" si="35"/>
        <v>420</v>
      </c>
      <c r="X60" s="129">
        <f t="shared" si="35"/>
        <v>0</v>
      </c>
      <c r="Y60" s="128">
        <f t="shared" si="35"/>
        <v>0</v>
      </c>
      <c r="Z60" s="129">
        <f t="shared" si="35"/>
        <v>2365.42</v>
      </c>
      <c r="AA60" s="129">
        <f t="shared" si="35"/>
        <v>-236.54</v>
      </c>
      <c r="AB60" s="129">
        <f>SUM(AB62:AB64)</f>
        <v>0</v>
      </c>
      <c r="AC60" s="129">
        <f t="shared" si="11"/>
        <v>2128.88</v>
      </c>
      <c r="AD60" s="128">
        <f>SUM(AD62:AD64)</f>
        <v>-762.4</v>
      </c>
      <c r="AE60" s="128">
        <f>SUM(AE62:AE64)</f>
        <v>0</v>
      </c>
      <c r="AF60" s="128">
        <f>SUM(AF62:AF64)</f>
        <v>1366.48</v>
      </c>
      <c r="AG60" s="128">
        <f>SUM(AG62:AG64)</f>
        <v>0</v>
      </c>
      <c r="AH60" s="128">
        <f>SUM(AH62:AH64)</f>
        <v>0</v>
      </c>
      <c r="AI60" s="128">
        <f>SUM(AF60:AH60)</f>
        <v>1366.48</v>
      </c>
    </row>
    <row r="61" spans="1:35" x14ac:dyDescent="0.25">
      <c r="A61" s="161" t="s">
        <v>59</v>
      </c>
      <c r="B61" s="137"/>
      <c r="C61" s="22"/>
      <c r="D61" s="22"/>
      <c r="E61" s="23"/>
      <c r="F61" s="23"/>
      <c r="G61" s="23"/>
      <c r="H61" s="24"/>
      <c r="I61" s="25"/>
      <c r="J61" s="25"/>
      <c r="K61" s="131"/>
      <c r="L61" s="132"/>
      <c r="M61" s="132"/>
      <c r="N61" s="131"/>
      <c r="O61" s="131"/>
      <c r="P61" s="131"/>
      <c r="Q61" s="131"/>
      <c r="R61" s="131"/>
      <c r="S61" s="133"/>
      <c r="T61" s="134"/>
      <c r="U61" s="134"/>
      <c r="V61" s="133"/>
      <c r="W61" s="133"/>
      <c r="X61" s="134"/>
      <c r="Y61" s="133"/>
      <c r="Z61" s="134"/>
      <c r="AA61" s="134"/>
      <c r="AB61" s="134"/>
      <c r="AC61" s="27"/>
      <c r="AD61" s="26"/>
      <c r="AE61" s="26"/>
      <c r="AF61" s="26"/>
      <c r="AG61" s="26"/>
      <c r="AH61" s="26"/>
      <c r="AI61" s="26"/>
    </row>
    <row r="62" spans="1:35" ht="24" customHeight="1" x14ac:dyDescent="0.25">
      <c r="A62" s="28" t="s">
        <v>101</v>
      </c>
      <c r="B62" s="162" t="s">
        <v>88</v>
      </c>
      <c r="C62" s="30">
        <v>15</v>
      </c>
      <c r="D62" s="30">
        <v>15</v>
      </c>
      <c r="E62" s="31">
        <v>0</v>
      </c>
      <c r="F62" s="31">
        <v>0</v>
      </c>
      <c r="G62" s="31">
        <f>D62+E62+F62</f>
        <v>15</v>
      </c>
      <c r="H62" s="32">
        <v>0</v>
      </c>
      <c r="I62" s="33">
        <v>0</v>
      </c>
      <c r="J62" s="33">
        <v>0</v>
      </c>
      <c r="K62" s="33">
        <f>G62+H62+I62+J62</f>
        <v>15</v>
      </c>
      <c r="L62" s="32">
        <v>0</v>
      </c>
      <c r="M62" s="32">
        <v>0</v>
      </c>
      <c r="N62" s="33">
        <f>K62+L62+M62</f>
        <v>15</v>
      </c>
      <c r="O62" s="33">
        <v>15</v>
      </c>
      <c r="P62" s="33">
        <v>0</v>
      </c>
      <c r="Q62" s="33">
        <v>0</v>
      </c>
      <c r="R62" s="33">
        <f>O62+P62+Q62</f>
        <v>15</v>
      </c>
      <c r="S62" s="32">
        <v>0</v>
      </c>
      <c r="T62" s="33">
        <v>0</v>
      </c>
      <c r="U62" s="33">
        <f>SUM(R62:T62)</f>
        <v>15</v>
      </c>
      <c r="V62" s="34">
        <v>15</v>
      </c>
      <c r="W62" s="34">
        <v>0</v>
      </c>
      <c r="X62" s="35">
        <v>0</v>
      </c>
      <c r="Y62" s="34">
        <v>0</v>
      </c>
      <c r="Z62" s="35">
        <f t="shared" ref="Z62:Z64" si="36">SUM(V62:Y62)</f>
        <v>15</v>
      </c>
      <c r="AA62" s="35">
        <v>0</v>
      </c>
      <c r="AB62" s="35">
        <v>0</v>
      </c>
      <c r="AC62" s="27">
        <f t="shared" si="11"/>
        <v>15</v>
      </c>
      <c r="AD62" s="26">
        <v>0</v>
      </c>
      <c r="AE62" s="26">
        <v>0</v>
      </c>
      <c r="AF62" s="26">
        <f>SUM(AC62:AE62)</f>
        <v>15</v>
      </c>
      <c r="AG62" s="34">
        <v>0</v>
      </c>
      <c r="AH62" s="34">
        <v>0</v>
      </c>
      <c r="AI62" s="34">
        <f>SUM(AF62:AH62)</f>
        <v>15</v>
      </c>
    </row>
    <row r="63" spans="1:35" x14ac:dyDescent="0.25">
      <c r="A63" s="163" t="s">
        <v>83</v>
      </c>
      <c r="B63" s="141"/>
      <c r="C63" s="38"/>
      <c r="D63" s="38">
        <v>200</v>
      </c>
      <c r="E63" s="39">
        <v>0</v>
      </c>
      <c r="F63" s="39">
        <v>94</v>
      </c>
      <c r="G63" s="31">
        <f>D63+E63+F63</f>
        <v>294</v>
      </c>
      <c r="H63" s="32">
        <v>0</v>
      </c>
      <c r="I63" s="33">
        <v>0</v>
      </c>
      <c r="J63" s="33">
        <v>0</v>
      </c>
      <c r="K63" s="33">
        <f>G63+H63+I63+J63</f>
        <v>294</v>
      </c>
      <c r="L63" s="32">
        <v>0</v>
      </c>
      <c r="M63" s="32">
        <v>0</v>
      </c>
      <c r="N63" s="33">
        <f>K63+L63+M63</f>
        <v>294</v>
      </c>
      <c r="O63" s="33">
        <v>166.5</v>
      </c>
      <c r="P63" s="33">
        <v>0</v>
      </c>
      <c r="Q63" s="33">
        <v>12</v>
      </c>
      <c r="R63" s="33">
        <f>O63+P63+Q63</f>
        <v>178.5</v>
      </c>
      <c r="S63" s="34">
        <v>0</v>
      </c>
      <c r="T63" s="35">
        <v>0</v>
      </c>
      <c r="U63" s="35">
        <f>SUM(R63:T63)</f>
        <v>178.5</v>
      </c>
      <c r="V63" s="34">
        <v>145</v>
      </c>
      <c r="W63" s="34">
        <f>140</f>
        <v>140</v>
      </c>
      <c r="X63" s="35">
        <v>0</v>
      </c>
      <c r="Y63" s="34">
        <v>0</v>
      </c>
      <c r="Z63" s="35">
        <f t="shared" si="36"/>
        <v>285</v>
      </c>
      <c r="AA63" s="35">
        <v>0</v>
      </c>
      <c r="AB63" s="35">
        <v>0</v>
      </c>
      <c r="AC63" s="27">
        <f t="shared" si="11"/>
        <v>285</v>
      </c>
      <c r="AD63" s="26">
        <v>-230</v>
      </c>
      <c r="AE63" s="26">
        <v>0</v>
      </c>
      <c r="AF63" s="26">
        <f>SUM(AC63:AE63)</f>
        <v>55</v>
      </c>
      <c r="AG63" s="34">
        <v>0</v>
      </c>
      <c r="AH63" s="34">
        <v>0</v>
      </c>
      <c r="AI63" s="34">
        <f>SUM(AF63:AH63)</f>
        <v>55</v>
      </c>
    </row>
    <row r="64" spans="1:35" ht="15.75" thickBot="1" x14ac:dyDescent="0.3">
      <c r="A64" s="164" t="s">
        <v>102</v>
      </c>
      <c r="B64" s="147"/>
      <c r="C64" s="38">
        <v>1482.8</v>
      </c>
      <c r="D64" s="38">
        <v>1257</v>
      </c>
      <c r="E64" s="39">
        <v>0</v>
      </c>
      <c r="F64" s="39">
        <v>126</v>
      </c>
      <c r="G64" s="39">
        <f>D64+E64+F64</f>
        <v>1383</v>
      </c>
      <c r="H64" s="41">
        <v>0</v>
      </c>
      <c r="I64" s="42">
        <v>0</v>
      </c>
      <c r="J64" s="42">
        <v>0</v>
      </c>
      <c r="K64" s="42">
        <f>G64+H64+I64+J64</f>
        <v>1383</v>
      </c>
      <c r="L64" s="41">
        <v>0</v>
      </c>
      <c r="M64" s="41">
        <v>0</v>
      </c>
      <c r="N64" s="42">
        <f>K64+L64+M64</f>
        <v>1383</v>
      </c>
      <c r="O64" s="42">
        <v>1798.12</v>
      </c>
      <c r="P64" s="42">
        <v>0</v>
      </c>
      <c r="Q64" s="42">
        <v>254</v>
      </c>
      <c r="R64" s="42">
        <f>O64+P64+Q64</f>
        <v>2052.12</v>
      </c>
      <c r="S64" s="44">
        <v>0</v>
      </c>
      <c r="T64" s="45">
        <v>0</v>
      </c>
      <c r="U64" s="45">
        <f>SUM(R64:T64)</f>
        <v>2052.12</v>
      </c>
      <c r="V64" s="44">
        <v>1785.42</v>
      </c>
      <c r="W64" s="44">
        <f>280</f>
        <v>280</v>
      </c>
      <c r="X64" s="45">
        <v>0</v>
      </c>
      <c r="Y64" s="44">
        <v>0</v>
      </c>
      <c r="Z64" s="45">
        <f t="shared" si="36"/>
        <v>2065.42</v>
      </c>
      <c r="AA64" s="45">
        <f>-236.54</f>
        <v>-236.54</v>
      </c>
      <c r="AB64" s="45">
        <v>0</v>
      </c>
      <c r="AC64" s="46">
        <f t="shared" si="11"/>
        <v>1828.88</v>
      </c>
      <c r="AD64" s="47">
        <v>-532.4</v>
      </c>
      <c r="AE64" s="47">
        <v>0</v>
      </c>
      <c r="AF64" s="47">
        <f>SUM(AC64:AE64)</f>
        <v>1296.48</v>
      </c>
      <c r="AG64" s="44">
        <v>0</v>
      </c>
      <c r="AH64" s="44">
        <v>0</v>
      </c>
      <c r="AI64" s="34">
        <f>SUM(AF64:AH64)</f>
        <v>1296.48</v>
      </c>
    </row>
    <row r="65" spans="1:35" ht="15.75" thickBot="1" x14ac:dyDescent="0.3">
      <c r="A65" s="165" t="s">
        <v>103</v>
      </c>
      <c r="B65" s="155"/>
      <c r="C65" s="125">
        <f t="shared" ref="C65:AB65" si="37">SUM(C67:C166)</f>
        <v>131165.01</v>
      </c>
      <c r="D65" s="125">
        <f t="shared" si="37"/>
        <v>142812</v>
      </c>
      <c r="E65" s="125">
        <f t="shared" si="37"/>
        <v>-120</v>
      </c>
      <c r="F65" s="125">
        <f t="shared" si="37"/>
        <v>-345.36999999999989</v>
      </c>
      <c r="G65" s="125">
        <f t="shared" si="37"/>
        <v>142196.63</v>
      </c>
      <c r="H65" s="125">
        <f t="shared" si="37"/>
        <v>-3238.45</v>
      </c>
      <c r="I65" s="125">
        <f t="shared" si="37"/>
        <v>0</v>
      </c>
      <c r="J65" s="125">
        <f t="shared" si="37"/>
        <v>-440</v>
      </c>
      <c r="K65" s="127">
        <f t="shared" si="37"/>
        <v>138518.18</v>
      </c>
      <c r="L65" s="127">
        <f t="shared" si="37"/>
        <v>27.86</v>
      </c>
      <c r="M65" s="127">
        <f t="shared" si="37"/>
        <v>-367.5</v>
      </c>
      <c r="N65" s="127">
        <f t="shared" si="37"/>
        <v>138178.54</v>
      </c>
      <c r="O65" s="127">
        <f t="shared" si="37"/>
        <v>146870.5</v>
      </c>
      <c r="P65" s="127">
        <f t="shared" si="37"/>
        <v>-432.26</v>
      </c>
      <c r="Q65" s="127">
        <f t="shared" si="37"/>
        <v>6670.58</v>
      </c>
      <c r="R65" s="127">
        <f t="shared" si="37"/>
        <v>153699.25</v>
      </c>
      <c r="S65" s="128">
        <f t="shared" si="37"/>
        <v>-3557.8199999999997</v>
      </c>
      <c r="T65" s="129">
        <f t="shared" si="37"/>
        <v>466</v>
      </c>
      <c r="U65" s="128">
        <f t="shared" si="37"/>
        <v>150607.43</v>
      </c>
      <c r="V65" s="166">
        <f t="shared" si="37"/>
        <v>165879</v>
      </c>
      <c r="W65" s="128">
        <f t="shared" si="37"/>
        <v>4954.21</v>
      </c>
      <c r="X65" s="129">
        <f t="shared" si="37"/>
        <v>0</v>
      </c>
      <c r="Y65" s="128">
        <f t="shared" si="37"/>
        <v>1341.57</v>
      </c>
      <c r="Z65" s="156">
        <f t="shared" si="37"/>
        <v>172174.78</v>
      </c>
      <c r="AA65" s="156">
        <f t="shared" si="37"/>
        <v>-1780</v>
      </c>
      <c r="AB65" s="156">
        <f t="shared" si="37"/>
        <v>3198.05</v>
      </c>
      <c r="AC65" s="129">
        <f t="shared" si="11"/>
        <v>173592.83</v>
      </c>
      <c r="AD65" s="128">
        <f>SUM(AD67:AD166)</f>
        <v>-11732.349999999999</v>
      </c>
      <c r="AE65" s="128">
        <f>SUM(AE67:AE166)</f>
        <v>5447.87</v>
      </c>
      <c r="AF65" s="128">
        <f>SUM(AF67:AF166)</f>
        <v>168375.73</v>
      </c>
      <c r="AG65" s="128">
        <f>SUM(AG67:AG166)</f>
        <v>-349.9</v>
      </c>
      <c r="AH65" s="128">
        <f>SUM(AH67:AH166)</f>
        <v>45.4</v>
      </c>
      <c r="AI65" s="128">
        <f>SUM(AF65:AH65)</f>
        <v>168071.23</v>
      </c>
    </row>
    <row r="66" spans="1:35" x14ac:dyDescent="0.25">
      <c r="A66" s="167" t="s">
        <v>59</v>
      </c>
      <c r="B66" s="137"/>
      <c r="C66" s="22"/>
      <c r="D66" s="22"/>
      <c r="E66" s="23"/>
      <c r="F66" s="23"/>
      <c r="G66" s="23"/>
      <c r="H66" s="24"/>
      <c r="I66" s="25"/>
      <c r="J66" s="25"/>
      <c r="K66" s="25"/>
      <c r="L66" s="24"/>
      <c r="M66" s="24"/>
      <c r="N66" s="25"/>
      <c r="O66" s="25"/>
      <c r="P66" s="25"/>
      <c r="Q66" s="25"/>
      <c r="R66" s="25"/>
      <c r="S66" s="26"/>
      <c r="T66" s="27"/>
      <c r="U66" s="27"/>
      <c r="V66" s="26"/>
      <c r="W66" s="26"/>
      <c r="X66" s="27"/>
      <c r="Y66" s="26"/>
      <c r="Z66" s="27"/>
      <c r="AA66" s="27"/>
      <c r="AB66" s="27"/>
      <c r="AC66" s="27"/>
      <c r="AD66" s="26"/>
      <c r="AE66" s="26"/>
      <c r="AF66" s="26"/>
      <c r="AG66" s="26"/>
      <c r="AH66" s="26"/>
      <c r="AI66" s="26"/>
    </row>
    <row r="67" spans="1:35" x14ac:dyDescent="0.25">
      <c r="A67" s="163" t="s">
        <v>104</v>
      </c>
      <c r="B67" s="162"/>
      <c r="C67" s="30">
        <v>0</v>
      </c>
      <c r="D67" s="30">
        <v>0</v>
      </c>
      <c r="E67" s="31">
        <v>0</v>
      </c>
      <c r="F67" s="31">
        <v>0</v>
      </c>
      <c r="G67" s="31">
        <f>D67+E67+F67</f>
        <v>0</v>
      </c>
      <c r="H67" s="32">
        <v>0</v>
      </c>
      <c r="I67" s="33">
        <v>0</v>
      </c>
      <c r="J67" s="33">
        <v>0</v>
      </c>
      <c r="K67" s="33">
        <f>G67+H67+I67+J67</f>
        <v>0</v>
      </c>
      <c r="L67" s="32">
        <v>0</v>
      </c>
      <c r="M67" s="32">
        <v>0</v>
      </c>
      <c r="N67" s="33">
        <f>K67+L67+M67</f>
        <v>0</v>
      </c>
      <c r="O67" s="33">
        <v>0</v>
      </c>
      <c r="P67" s="33">
        <v>0</v>
      </c>
      <c r="Q67" s="33">
        <v>0</v>
      </c>
      <c r="R67" s="31">
        <f>O67+P67+Q67</f>
        <v>0</v>
      </c>
      <c r="S67" s="34">
        <v>0</v>
      </c>
      <c r="T67" s="35">
        <v>0</v>
      </c>
      <c r="U67" s="35">
        <f>SUM(R67:T67)</f>
        <v>0</v>
      </c>
      <c r="V67" s="34">
        <v>0</v>
      </c>
      <c r="W67" s="34">
        <v>0</v>
      </c>
      <c r="X67" s="35">
        <v>0</v>
      </c>
      <c r="Y67" s="34">
        <v>0</v>
      </c>
      <c r="Z67" s="87">
        <f t="shared" ref="Z67:AA87" si="38">SUM(V67:Y67)</f>
        <v>0</v>
      </c>
      <c r="AA67" s="87">
        <f t="shared" si="38"/>
        <v>0</v>
      </c>
      <c r="AB67" s="87">
        <f>100+175-100</f>
        <v>175</v>
      </c>
      <c r="AC67" s="27">
        <f t="shared" si="11"/>
        <v>175</v>
      </c>
      <c r="AD67" s="26">
        <v>0</v>
      </c>
      <c r="AE67" s="26">
        <v>0</v>
      </c>
      <c r="AF67" s="26">
        <f t="shared" ref="AF67:AF140" si="39">SUM(AC67:AE67)</f>
        <v>175</v>
      </c>
      <c r="AG67" s="34">
        <v>0</v>
      </c>
      <c r="AH67" s="34">
        <v>0</v>
      </c>
      <c r="AI67" s="34">
        <f>SUM(AF67:AH67)</f>
        <v>175</v>
      </c>
    </row>
    <row r="68" spans="1:35" x14ac:dyDescent="0.25">
      <c r="A68" s="163" t="s">
        <v>83</v>
      </c>
      <c r="B68" s="162"/>
      <c r="C68" s="30">
        <v>2300</v>
      </c>
      <c r="D68" s="30">
        <v>1950</v>
      </c>
      <c r="E68" s="31">
        <v>-270</v>
      </c>
      <c r="F68" s="31">
        <v>1350</v>
      </c>
      <c r="G68" s="31">
        <f>D68+E68+F68+185</f>
        <v>3215</v>
      </c>
      <c r="H68" s="32">
        <v>-450</v>
      </c>
      <c r="I68" s="33">
        <v>0</v>
      </c>
      <c r="J68" s="33">
        <v>-190</v>
      </c>
      <c r="K68" s="33">
        <f t="shared" ref="K68:K152" si="40">G68+H68+I68+J68</f>
        <v>2575</v>
      </c>
      <c r="L68" s="32">
        <v>0</v>
      </c>
      <c r="M68" s="32">
        <v>200</v>
      </c>
      <c r="N68" s="33">
        <f t="shared" ref="N68:N125" si="41">K68+L68+M68</f>
        <v>2775</v>
      </c>
      <c r="O68" s="33">
        <v>2350</v>
      </c>
      <c r="P68" s="33">
        <f>-150</f>
        <v>-150</v>
      </c>
      <c r="Q68" s="33">
        <v>920</v>
      </c>
      <c r="R68" s="31">
        <f>O68+P68+Q68+50+100+350</f>
        <v>3620</v>
      </c>
      <c r="S68" s="34">
        <v>900</v>
      </c>
      <c r="T68" s="35">
        <f>411</f>
        <v>411</v>
      </c>
      <c r="U68" s="35">
        <f>SUM(R68:T68)</f>
        <v>4931</v>
      </c>
      <c r="V68" s="34">
        <v>2600</v>
      </c>
      <c r="W68" s="34">
        <f>200-100+3300</f>
        <v>3400</v>
      </c>
      <c r="X68" s="35">
        <v>0</v>
      </c>
      <c r="Y68" s="34">
        <v>0</v>
      </c>
      <c r="Z68" s="87">
        <f t="shared" si="38"/>
        <v>6000</v>
      </c>
      <c r="AA68" s="87">
        <f>-690</f>
        <v>-690</v>
      </c>
      <c r="AB68" s="87">
        <f>230</f>
        <v>230</v>
      </c>
      <c r="AC68" s="27">
        <f t="shared" si="11"/>
        <v>5540</v>
      </c>
      <c r="AD68" s="26">
        <v>-600</v>
      </c>
      <c r="AE68" s="26">
        <f>51</f>
        <v>51</v>
      </c>
      <c r="AF68" s="26">
        <f t="shared" si="39"/>
        <v>4991</v>
      </c>
      <c r="AG68" s="34">
        <f>-90</f>
        <v>-90</v>
      </c>
      <c r="AH68" s="34">
        <v>0</v>
      </c>
      <c r="AI68" s="34">
        <f t="shared" ref="AI68:AI132" si="42">SUM(AF68:AH68)</f>
        <v>4901</v>
      </c>
    </row>
    <row r="69" spans="1:35" ht="26.25" customHeight="1" x14ac:dyDescent="0.25">
      <c r="A69" s="168" t="s">
        <v>105</v>
      </c>
      <c r="B69" s="162" t="s">
        <v>106</v>
      </c>
      <c r="C69" s="30">
        <v>1400</v>
      </c>
      <c r="D69" s="30">
        <v>1400</v>
      </c>
      <c r="E69" s="31">
        <v>0</v>
      </c>
      <c r="F69" s="31">
        <v>0</v>
      </c>
      <c r="G69" s="31">
        <f t="shared" ref="G69:G153" si="43">D69+E69+F69</f>
        <v>1400</v>
      </c>
      <c r="H69" s="32">
        <v>0</v>
      </c>
      <c r="I69" s="33">
        <v>0</v>
      </c>
      <c r="J69" s="33">
        <v>0</v>
      </c>
      <c r="K69" s="33">
        <f t="shared" si="40"/>
        <v>1400</v>
      </c>
      <c r="L69" s="32">
        <v>0</v>
      </c>
      <c r="M69" s="32">
        <v>-16</v>
      </c>
      <c r="N69" s="33">
        <f t="shared" si="41"/>
        <v>1384</v>
      </c>
      <c r="O69" s="33">
        <v>1400</v>
      </c>
      <c r="P69" s="33">
        <v>0</v>
      </c>
      <c r="Q69" s="33">
        <v>0</v>
      </c>
      <c r="R69" s="31">
        <f t="shared" ref="R69:R122" si="44">O69+P69+Q69</f>
        <v>1400</v>
      </c>
      <c r="S69" s="32">
        <v>0</v>
      </c>
      <c r="T69" s="33">
        <v>0</v>
      </c>
      <c r="U69" s="33">
        <f t="shared" ref="U69:U89" si="45">SUM(R69:T69)</f>
        <v>1400</v>
      </c>
      <c r="V69" s="34">
        <v>1400</v>
      </c>
      <c r="W69" s="34">
        <v>0</v>
      </c>
      <c r="X69" s="35">
        <v>0</v>
      </c>
      <c r="Y69" s="34">
        <v>0</v>
      </c>
      <c r="Z69" s="87">
        <f t="shared" si="38"/>
        <v>1400</v>
      </c>
      <c r="AA69" s="87">
        <v>0</v>
      </c>
      <c r="AB69" s="87">
        <v>0</v>
      </c>
      <c r="AC69" s="35">
        <f t="shared" si="11"/>
        <v>1400</v>
      </c>
      <c r="AD69" s="34">
        <v>-10</v>
      </c>
      <c r="AE69" s="34">
        <v>0</v>
      </c>
      <c r="AF69" s="34">
        <f t="shared" si="39"/>
        <v>1390</v>
      </c>
      <c r="AG69" s="34">
        <v>0</v>
      </c>
      <c r="AH69" s="34">
        <v>0</v>
      </c>
      <c r="AI69" s="34">
        <f t="shared" si="42"/>
        <v>1390</v>
      </c>
    </row>
    <row r="70" spans="1:35" ht="26.25" customHeight="1" x14ac:dyDescent="0.25">
      <c r="A70" s="169" t="s">
        <v>107</v>
      </c>
      <c r="B70" s="139" t="s">
        <v>108</v>
      </c>
      <c r="C70" s="22">
        <v>1262</v>
      </c>
      <c r="D70" s="22">
        <v>1500</v>
      </c>
      <c r="E70" s="23">
        <v>0</v>
      </c>
      <c r="F70" s="23">
        <v>0</v>
      </c>
      <c r="G70" s="23">
        <f t="shared" si="43"/>
        <v>1500</v>
      </c>
      <c r="H70" s="24">
        <v>0</v>
      </c>
      <c r="I70" s="25">
        <v>0</v>
      </c>
      <c r="J70" s="25">
        <v>0</v>
      </c>
      <c r="K70" s="25">
        <f t="shared" si="40"/>
        <v>1500</v>
      </c>
      <c r="L70" s="24">
        <v>0</v>
      </c>
      <c r="M70" s="24">
        <v>0</v>
      </c>
      <c r="N70" s="25">
        <f t="shared" si="41"/>
        <v>1500</v>
      </c>
      <c r="O70" s="25">
        <v>1900</v>
      </c>
      <c r="P70" s="25">
        <v>0</v>
      </c>
      <c r="Q70" s="25">
        <v>0</v>
      </c>
      <c r="R70" s="31">
        <f t="shared" si="44"/>
        <v>1900</v>
      </c>
      <c r="S70" s="34">
        <v>0</v>
      </c>
      <c r="T70" s="35">
        <v>0</v>
      </c>
      <c r="U70" s="35">
        <f t="shared" si="45"/>
        <v>1900</v>
      </c>
      <c r="V70" s="34">
        <v>1900</v>
      </c>
      <c r="W70" s="34">
        <v>0</v>
      </c>
      <c r="X70" s="35">
        <v>0</v>
      </c>
      <c r="Y70" s="34">
        <v>0</v>
      </c>
      <c r="Z70" s="87">
        <f t="shared" si="38"/>
        <v>1900</v>
      </c>
      <c r="AA70" s="87">
        <v>0</v>
      </c>
      <c r="AB70" s="87">
        <v>0</v>
      </c>
      <c r="AC70" s="27">
        <f t="shared" si="11"/>
        <v>1900</v>
      </c>
      <c r="AD70" s="26">
        <v>-5</v>
      </c>
      <c r="AE70" s="26">
        <v>0</v>
      </c>
      <c r="AF70" s="26">
        <f t="shared" si="39"/>
        <v>1895</v>
      </c>
      <c r="AG70" s="34">
        <v>0</v>
      </c>
      <c r="AH70" s="34">
        <v>0</v>
      </c>
      <c r="AI70" s="34">
        <f t="shared" si="42"/>
        <v>1895</v>
      </c>
    </row>
    <row r="71" spans="1:35" ht="26.25" customHeight="1" x14ac:dyDescent="0.25">
      <c r="A71" s="168" t="s">
        <v>109</v>
      </c>
      <c r="B71" s="162" t="s">
        <v>110</v>
      </c>
      <c r="C71" s="30">
        <v>600</v>
      </c>
      <c r="D71" s="30">
        <v>600</v>
      </c>
      <c r="E71" s="31">
        <v>0</v>
      </c>
      <c r="F71" s="31">
        <v>0</v>
      </c>
      <c r="G71" s="31">
        <f t="shared" si="43"/>
        <v>600</v>
      </c>
      <c r="H71" s="32">
        <v>0</v>
      </c>
      <c r="I71" s="33">
        <v>0</v>
      </c>
      <c r="J71" s="33">
        <v>0</v>
      </c>
      <c r="K71" s="33">
        <f t="shared" si="40"/>
        <v>600</v>
      </c>
      <c r="L71" s="32">
        <v>0</v>
      </c>
      <c r="M71" s="32">
        <v>0</v>
      </c>
      <c r="N71" s="33">
        <f t="shared" si="41"/>
        <v>600</v>
      </c>
      <c r="O71" s="33">
        <v>800</v>
      </c>
      <c r="P71" s="33">
        <v>0</v>
      </c>
      <c r="Q71" s="33">
        <v>0</v>
      </c>
      <c r="R71" s="31">
        <f t="shared" si="44"/>
        <v>800</v>
      </c>
      <c r="S71" s="32">
        <v>0</v>
      </c>
      <c r="T71" s="33">
        <v>0</v>
      </c>
      <c r="U71" s="33">
        <f t="shared" si="45"/>
        <v>800</v>
      </c>
      <c r="V71" s="34">
        <v>800</v>
      </c>
      <c r="W71" s="34">
        <v>0</v>
      </c>
      <c r="X71" s="35">
        <v>0</v>
      </c>
      <c r="Y71" s="34">
        <v>0</v>
      </c>
      <c r="Z71" s="87">
        <f t="shared" si="38"/>
        <v>800</v>
      </c>
      <c r="AA71" s="87">
        <v>0</v>
      </c>
      <c r="AB71" s="87">
        <v>0</v>
      </c>
      <c r="AC71" s="27">
        <f t="shared" si="11"/>
        <v>800</v>
      </c>
      <c r="AD71" s="26">
        <v>-30</v>
      </c>
      <c r="AE71" s="26">
        <v>0</v>
      </c>
      <c r="AF71" s="26">
        <f t="shared" si="39"/>
        <v>770</v>
      </c>
      <c r="AG71" s="34">
        <v>0</v>
      </c>
      <c r="AH71" s="34">
        <v>0</v>
      </c>
      <c r="AI71" s="34">
        <f t="shared" si="42"/>
        <v>770</v>
      </c>
    </row>
    <row r="72" spans="1:35" x14ac:dyDescent="0.25">
      <c r="A72" s="170" t="s">
        <v>111</v>
      </c>
      <c r="B72" s="141" t="s">
        <v>112</v>
      </c>
      <c r="C72" s="30">
        <v>30500</v>
      </c>
      <c r="D72" s="30">
        <v>30400</v>
      </c>
      <c r="E72" s="31">
        <v>0</v>
      </c>
      <c r="F72" s="31">
        <v>0</v>
      </c>
      <c r="G72" s="31">
        <f t="shared" si="43"/>
        <v>30400</v>
      </c>
      <c r="H72" s="32">
        <v>200</v>
      </c>
      <c r="I72" s="33">
        <v>0</v>
      </c>
      <c r="J72" s="33">
        <v>0</v>
      </c>
      <c r="K72" s="33">
        <f t="shared" si="40"/>
        <v>30600</v>
      </c>
      <c r="L72" s="32">
        <v>0</v>
      </c>
      <c r="M72" s="32">
        <v>200</v>
      </c>
      <c r="N72" s="33">
        <f t="shared" si="41"/>
        <v>30800</v>
      </c>
      <c r="O72" s="33">
        <v>30800</v>
      </c>
      <c r="P72" s="33">
        <v>0</v>
      </c>
      <c r="Q72" s="33">
        <v>100</v>
      </c>
      <c r="R72" s="31">
        <f t="shared" si="44"/>
        <v>30900</v>
      </c>
      <c r="S72" s="34">
        <v>380</v>
      </c>
      <c r="T72" s="35">
        <v>0</v>
      </c>
      <c r="U72" s="35">
        <f t="shared" si="45"/>
        <v>31280</v>
      </c>
      <c r="V72" s="34">
        <v>32400</v>
      </c>
      <c r="W72" s="34">
        <v>0</v>
      </c>
      <c r="X72" s="35">
        <v>0</v>
      </c>
      <c r="Y72" s="34">
        <v>0</v>
      </c>
      <c r="Z72" s="87">
        <f t="shared" si="38"/>
        <v>32400</v>
      </c>
      <c r="AA72" s="87">
        <v>0</v>
      </c>
      <c r="AB72" s="87">
        <v>0</v>
      </c>
      <c r="AC72" s="27">
        <f t="shared" si="11"/>
        <v>32400</v>
      </c>
      <c r="AD72" s="26">
        <v>0</v>
      </c>
      <c r="AE72" s="26">
        <v>0</v>
      </c>
      <c r="AF72" s="26">
        <f t="shared" si="39"/>
        <v>32400</v>
      </c>
      <c r="AG72" s="34">
        <v>0</v>
      </c>
      <c r="AH72" s="34">
        <v>0</v>
      </c>
      <c r="AI72" s="34">
        <f t="shared" si="42"/>
        <v>32400</v>
      </c>
    </row>
    <row r="73" spans="1:35" ht="25.5" x14ac:dyDescent="0.25">
      <c r="A73" s="168" t="s">
        <v>113</v>
      </c>
      <c r="B73" s="162" t="s">
        <v>88</v>
      </c>
      <c r="C73" s="30">
        <v>750.5</v>
      </c>
      <c r="D73" s="30">
        <v>755</v>
      </c>
      <c r="E73" s="31">
        <v>0</v>
      </c>
      <c r="F73" s="31">
        <v>9</v>
      </c>
      <c r="G73" s="31">
        <f t="shared" si="43"/>
        <v>764</v>
      </c>
      <c r="H73" s="32">
        <v>0</v>
      </c>
      <c r="I73" s="33">
        <v>0</v>
      </c>
      <c r="J73" s="33">
        <v>0</v>
      </c>
      <c r="K73" s="33">
        <f t="shared" si="40"/>
        <v>764</v>
      </c>
      <c r="L73" s="32">
        <v>0</v>
      </c>
      <c r="M73" s="32">
        <v>0</v>
      </c>
      <c r="N73" s="33">
        <f t="shared" si="41"/>
        <v>764</v>
      </c>
      <c r="O73" s="33">
        <v>825</v>
      </c>
      <c r="P73" s="33">
        <v>0</v>
      </c>
      <c r="Q73" s="33">
        <v>5</v>
      </c>
      <c r="R73" s="31">
        <f t="shared" si="44"/>
        <v>830</v>
      </c>
      <c r="S73" s="34">
        <v>0</v>
      </c>
      <c r="T73" s="35">
        <v>0</v>
      </c>
      <c r="U73" s="35">
        <f t="shared" si="45"/>
        <v>830</v>
      </c>
      <c r="V73" s="34">
        <v>830</v>
      </c>
      <c r="W73" s="34">
        <f>16</f>
        <v>16</v>
      </c>
      <c r="X73" s="35">
        <v>0</v>
      </c>
      <c r="Y73" s="34">
        <v>0</v>
      </c>
      <c r="Z73" s="87">
        <f t="shared" si="38"/>
        <v>846</v>
      </c>
      <c r="AA73" s="87">
        <v>0</v>
      </c>
      <c r="AB73" s="87">
        <v>0</v>
      </c>
      <c r="AC73" s="27">
        <f t="shared" si="11"/>
        <v>846</v>
      </c>
      <c r="AD73" s="26">
        <v>0</v>
      </c>
      <c r="AE73" s="26">
        <v>0</v>
      </c>
      <c r="AF73" s="26">
        <f t="shared" si="39"/>
        <v>846</v>
      </c>
      <c r="AG73" s="34">
        <v>0</v>
      </c>
      <c r="AH73" s="34">
        <v>0</v>
      </c>
      <c r="AI73" s="34">
        <f t="shared" si="42"/>
        <v>846</v>
      </c>
    </row>
    <row r="74" spans="1:35" x14ac:dyDescent="0.25">
      <c r="A74" s="170" t="s">
        <v>114</v>
      </c>
      <c r="B74" s="162" t="s">
        <v>88</v>
      </c>
      <c r="C74" s="22">
        <v>1736</v>
      </c>
      <c r="D74" s="22">
        <v>1760</v>
      </c>
      <c r="E74" s="23">
        <v>0</v>
      </c>
      <c r="F74" s="23">
        <v>48</v>
      </c>
      <c r="G74" s="31">
        <f t="shared" si="43"/>
        <v>1808</v>
      </c>
      <c r="H74" s="32">
        <v>10</v>
      </c>
      <c r="I74" s="33">
        <v>0</v>
      </c>
      <c r="J74" s="33">
        <v>0</v>
      </c>
      <c r="K74" s="33">
        <f t="shared" si="40"/>
        <v>1818</v>
      </c>
      <c r="L74" s="32">
        <v>0</v>
      </c>
      <c r="M74" s="32">
        <v>0</v>
      </c>
      <c r="N74" s="33">
        <f t="shared" si="41"/>
        <v>1818</v>
      </c>
      <c r="O74" s="33">
        <v>2000</v>
      </c>
      <c r="P74" s="33">
        <v>0</v>
      </c>
      <c r="Q74" s="33">
        <v>31</v>
      </c>
      <c r="R74" s="31">
        <f t="shared" si="44"/>
        <v>2031</v>
      </c>
      <c r="S74" s="34">
        <v>0</v>
      </c>
      <c r="T74" s="35">
        <v>0</v>
      </c>
      <c r="U74" s="35">
        <f t="shared" si="45"/>
        <v>2031</v>
      </c>
      <c r="V74" s="34">
        <v>2031</v>
      </c>
      <c r="W74" s="34">
        <f>98</f>
        <v>98</v>
      </c>
      <c r="X74" s="35">
        <v>0</v>
      </c>
      <c r="Y74" s="34">
        <v>0</v>
      </c>
      <c r="Z74" s="87">
        <f t="shared" si="38"/>
        <v>2129</v>
      </c>
      <c r="AA74" s="87">
        <v>0</v>
      </c>
      <c r="AB74" s="87">
        <v>0</v>
      </c>
      <c r="AC74" s="27">
        <f t="shared" si="11"/>
        <v>2129</v>
      </c>
      <c r="AD74" s="26">
        <v>-100</v>
      </c>
      <c r="AE74" s="26">
        <v>0</v>
      </c>
      <c r="AF74" s="26">
        <f>SUM(AC74:AE74)</f>
        <v>2029</v>
      </c>
      <c r="AG74" s="34">
        <v>0</v>
      </c>
      <c r="AH74" s="34">
        <v>0</v>
      </c>
      <c r="AI74" s="34">
        <f t="shared" si="42"/>
        <v>2029</v>
      </c>
    </row>
    <row r="75" spans="1:35" x14ac:dyDescent="0.25">
      <c r="A75" s="171" t="s">
        <v>115</v>
      </c>
      <c r="B75" s="162" t="s">
        <v>88</v>
      </c>
      <c r="C75" s="22"/>
      <c r="D75" s="22"/>
      <c r="E75" s="23"/>
      <c r="F75" s="23"/>
      <c r="G75" s="31"/>
      <c r="H75" s="32"/>
      <c r="I75" s="33"/>
      <c r="J75" s="33"/>
      <c r="K75" s="33"/>
      <c r="L75" s="32"/>
      <c r="M75" s="32"/>
      <c r="N75" s="33"/>
      <c r="O75" s="33"/>
      <c r="P75" s="33"/>
      <c r="Q75" s="33"/>
      <c r="R75" s="31"/>
      <c r="S75" s="34"/>
      <c r="T75" s="35"/>
      <c r="U75" s="35"/>
      <c r="V75" s="34">
        <v>0</v>
      </c>
      <c r="W75" s="34"/>
      <c r="X75" s="35"/>
      <c r="Y75" s="34"/>
      <c r="Z75" s="87"/>
      <c r="AA75" s="87"/>
      <c r="AB75" s="87"/>
      <c r="AC75" s="27">
        <v>0</v>
      </c>
      <c r="AD75" s="26">
        <v>0</v>
      </c>
      <c r="AE75" s="26">
        <f>482.45</f>
        <v>482.45</v>
      </c>
      <c r="AF75" s="26">
        <f>SUM(AC75:AE75)</f>
        <v>482.45</v>
      </c>
      <c r="AG75" s="34">
        <v>0</v>
      </c>
      <c r="AH75" s="34">
        <v>0</v>
      </c>
      <c r="AI75" s="34">
        <f t="shared" si="42"/>
        <v>482.45</v>
      </c>
    </row>
    <row r="76" spans="1:35" x14ac:dyDescent="0.25">
      <c r="A76" s="172" t="s">
        <v>116</v>
      </c>
      <c r="B76" s="162" t="s">
        <v>117</v>
      </c>
      <c r="C76" s="22"/>
      <c r="D76" s="22"/>
      <c r="E76" s="23"/>
      <c r="F76" s="23"/>
      <c r="G76" s="31"/>
      <c r="H76" s="32"/>
      <c r="I76" s="33"/>
      <c r="J76" s="33"/>
      <c r="K76" s="33"/>
      <c r="L76" s="32"/>
      <c r="M76" s="32"/>
      <c r="N76" s="33"/>
      <c r="O76" s="33"/>
      <c r="P76" s="33"/>
      <c r="Q76" s="33"/>
      <c r="R76" s="31"/>
      <c r="S76" s="34"/>
      <c r="T76" s="35"/>
      <c r="U76" s="35"/>
      <c r="V76" s="34">
        <v>0</v>
      </c>
      <c r="W76" s="34"/>
      <c r="X76" s="35"/>
      <c r="Y76" s="34"/>
      <c r="Z76" s="87"/>
      <c r="AA76" s="87"/>
      <c r="AB76" s="87"/>
      <c r="AC76" s="27">
        <v>0</v>
      </c>
      <c r="AD76" s="26">
        <v>0</v>
      </c>
      <c r="AE76" s="26">
        <f>60.58</f>
        <v>60.58</v>
      </c>
      <c r="AF76" s="26">
        <f>SUM(AC76:AE76)</f>
        <v>60.58</v>
      </c>
      <c r="AG76" s="34">
        <v>0</v>
      </c>
      <c r="AH76" s="34">
        <v>0</v>
      </c>
      <c r="AI76" s="34">
        <f t="shared" si="42"/>
        <v>60.58</v>
      </c>
    </row>
    <row r="77" spans="1:35" x14ac:dyDescent="0.25">
      <c r="A77" s="170" t="s">
        <v>118</v>
      </c>
      <c r="B77" s="162" t="s">
        <v>88</v>
      </c>
      <c r="C77" s="30">
        <v>2311.5</v>
      </c>
      <c r="D77" s="30">
        <v>2336</v>
      </c>
      <c r="E77" s="31">
        <v>0</v>
      </c>
      <c r="F77" s="31">
        <v>49</v>
      </c>
      <c r="G77" s="31">
        <f t="shared" si="43"/>
        <v>2385</v>
      </c>
      <c r="H77" s="32">
        <v>10</v>
      </c>
      <c r="I77" s="33">
        <v>0</v>
      </c>
      <c r="J77" s="33">
        <v>0</v>
      </c>
      <c r="K77" s="33">
        <f t="shared" si="40"/>
        <v>2395</v>
      </c>
      <c r="L77" s="32">
        <v>0</v>
      </c>
      <c r="M77" s="32">
        <v>0</v>
      </c>
      <c r="N77" s="33">
        <f t="shared" si="41"/>
        <v>2395</v>
      </c>
      <c r="O77" s="33">
        <v>2493</v>
      </c>
      <c r="P77" s="33">
        <v>0</v>
      </c>
      <c r="Q77" s="33">
        <v>24</v>
      </c>
      <c r="R77" s="31">
        <f t="shared" si="44"/>
        <v>2517</v>
      </c>
      <c r="S77" s="34">
        <v>0</v>
      </c>
      <c r="T77" s="35">
        <v>0</v>
      </c>
      <c r="U77" s="35">
        <f t="shared" si="45"/>
        <v>2517</v>
      </c>
      <c r="V77" s="34">
        <v>2517</v>
      </c>
      <c r="W77" s="34">
        <f>79</f>
        <v>79</v>
      </c>
      <c r="X77" s="35">
        <v>0</v>
      </c>
      <c r="Y77" s="34">
        <v>0</v>
      </c>
      <c r="Z77" s="87">
        <f t="shared" si="38"/>
        <v>2596</v>
      </c>
      <c r="AA77" s="87">
        <f>120.5</f>
        <v>120.5</v>
      </c>
      <c r="AB77" s="87">
        <v>0</v>
      </c>
      <c r="AC77" s="27">
        <f t="shared" ref="AC77:AC154" si="46">Z77+AA77+AB77</f>
        <v>2716.5</v>
      </c>
      <c r="AD77" s="26">
        <v>-100</v>
      </c>
      <c r="AE77" s="26">
        <v>0</v>
      </c>
      <c r="AF77" s="26">
        <f t="shared" si="39"/>
        <v>2616.5</v>
      </c>
      <c r="AG77" s="34">
        <v>0</v>
      </c>
      <c r="AH77" s="34">
        <v>0</v>
      </c>
      <c r="AI77" s="34">
        <f t="shared" si="42"/>
        <v>2616.5</v>
      </c>
    </row>
    <row r="78" spans="1:35" x14ac:dyDescent="0.25">
      <c r="A78" s="170" t="s">
        <v>119</v>
      </c>
      <c r="B78" s="162" t="s">
        <v>88</v>
      </c>
      <c r="C78" s="30"/>
      <c r="D78" s="30"/>
      <c r="E78" s="31"/>
      <c r="F78" s="31"/>
      <c r="G78" s="31"/>
      <c r="H78" s="32"/>
      <c r="I78" s="33"/>
      <c r="J78" s="33"/>
      <c r="K78" s="33"/>
      <c r="L78" s="32"/>
      <c r="M78" s="32"/>
      <c r="N78" s="33"/>
      <c r="O78" s="33"/>
      <c r="P78" s="33"/>
      <c r="Q78" s="33"/>
      <c r="R78" s="31"/>
      <c r="S78" s="34"/>
      <c r="T78" s="35"/>
      <c r="U78" s="35"/>
      <c r="V78" s="34">
        <v>0</v>
      </c>
      <c r="W78" s="34"/>
      <c r="X78" s="35"/>
      <c r="Y78" s="34"/>
      <c r="Z78" s="87">
        <v>0</v>
      </c>
      <c r="AA78" s="87">
        <v>0</v>
      </c>
      <c r="AB78" s="87">
        <v>620.03</v>
      </c>
      <c r="AC78" s="27">
        <f t="shared" si="46"/>
        <v>620.03</v>
      </c>
      <c r="AD78" s="26">
        <v>0</v>
      </c>
      <c r="AE78" s="26">
        <v>0</v>
      </c>
      <c r="AF78" s="26">
        <f t="shared" si="39"/>
        <v>620.03</v>
      </c>
      <c r="AG78" s="34">
        <v>0</v>
      </c>
      <c r="AH78" s="34">
        <v>0</v>
      </c>
      <c r="AI78" s="34">
        <f t="shared" si="42"/>
        <v>620.03</v>
      </c>
    </row>
    <row r="79" spans="1:35" x14ac:dyDescent="0.25">
      <c r="A79" s="173" t="s">
        <v>120</v>
      </c>
      <c r="B79" s="162" t="s">
        <v>117</v>
      </c>
      <c r="C79" s="30"/>
      <c r="D79" s="30"/>
      <c r="E79" s="31"/>
      <c r="F79" s="31"/>
      <c r="G79" s="31"/>
      <c r="H79" s="32"/>
      <c r="I79" s="33"/>
      <c r="J79" s="33"/>
      <c r="K79" s="33"/>
      <c r="L79" s="32"/>
      <c r="M79" s="32"/>
      <c r="N79" s="33"/>
      <c r="O79" s="33"/>
      <c r="P79" s="33"/>
      <c r="Q79" s="33"/>
      <c r="R79" s="31"/>
      <c r="S79" s="34"/>
      <c r="T79" s="35"/>
      <c r="U79" s="35"/>
      <c r="V79" s="34">
        <v>0</v>
      </c>
      <c r="W79" s="34"/>
      <c r="X79" s="35"/>
      <c r="Y79" s="34"/>
      <c r="Z79" s="87"/>
      <c r="AA79" s="87"/>
      <c r="AB79" s="87"/>
      <c r="AC79" s="27">
        <v>0</v>
      </c>
      <c r="AD79" s="26">
        <v>0</v>
      </c>
      <c r="AE79" s="26">
        <f>210.03</f>
        <v>210.03</v>
      </c>
      <c r="AF79" s="26">
        <f>SUM(AC79:AE79)</f>
        <v>210.03</v>
      </c>
      <c r="AG79" s="34">
        <v>0</v>
      </c>
      <c r="AH79" s="34">
        <v>0</v>
      </c>
      <c r="AI79" s="34">
        <f t="shared" si="42"/>
        <v>210.03</v>
      </c>
    </row>
    <row r="80" spans="1:35" ht="25.9" customHeight="1" x14ac:dyDescent="0.25">
      <c r="A80" s="168" t="s">
        <v>121</v>
      </c>
      <c r="B80" s="162" t="s">
        <v>88</v>
      </c>
      <c r="C80" s="30">
        <v>781</v>
      </c>
      <c r="D80" s="30">
        <v>781</v>
      </c>
      <c r="E80" s="31">
        <v>0</v>
      </c>
      <c r="F80" s="31">
        <v>0</v>
      </c>
      <c r="G80" s="31">
        <f t="shared" si="43"/>
        <v>781</v>
      </c>
      <c r="H80" s="32">
        <v>0</v>
      </c>
      <c r="I80" s="33">
        <v>0</v>
      </c>
      <c r="J80" s="33">
        <v>0</v>
      </c>
      <c r="K80" s="33">
        <f t="shared" si="40"/>
        <v>781</v>
      </c>
      <c r="L80" s="32">
        <v>0</v>
      </c>
      <c r="M80" s="32">
        <v>0</v>
      </c>
      <c r="N80" s="33">
        <f t="shared" si="41"/>
        <v>781</v>
      </c>
      <c r="O80" s="33">
        <v>832</v>
      </c>
      <c r="P80" s="33">
        <v>0</v>
      </c>
      <c r="Q80" s="33">
        <v>0</v>
      </c>
      <c r="R80" s="31">
        <f t="shared" si="44"/>
        <v>832</v>
      </c>
      <c r="S80" s="34">
        <v>0</v>
      </c>
      <c r="T80" s="35">
        <v>0</v>
      </c>
      <c r="U80" s="35">
        <f t="shared" si="45"/>
        <v>832</v>
      </c>
      <c r="V80" s="76">
        <v>852</v>
      </c>
      <c r="W80" s="76">
        <v>0</v>
      </c>
      <c r="X80" s="87">
        <v>0</v>
      </c>
      <c r="Y80" s="76">
        <v>0</v>
      </c>
      <c r="Z80" s="87">
        <f t="shared" si="38"/>
        <v>852</v>
      </c>
      <c r="AA80" s="87">
        <v>0</v>
      </c>
      <c r="AB80" s="87">
        <v>0</v>
      </c>
      <c r="AC80" s="27">
        <f t="shared" si="46"/>
        <v>852</v>
      </c>
      <c r="AD80" s="26">
        <v>0</v>
      </c>
      <c r="AE80" s="26">
        <v>0</v>
      </c>
      <c r="AF80" s="26">
        <f t="shared" si="39"/>
        <v>852</v>
      </c>
      <c r="AG80" s="34">
        <v>0</v>
      </c>
      <c r="AH80" s="34">
        <v>0</v>
      </c>
      <c r="AI80" s="34">
        <f t="shared" si="42"/>
        <v>852</v>
      </c>
    </row>
    <row r="81" spans="1:35" x14ac:dyDescent="0.25">
      <c r="A81" s="170" t="s">
        <v>122</v>
      </c>
      <c r="B81" s="162" t="s">
        <v>88</v>
      </c>
      <c r="C81" s="30">
        <v>2140.5</v>
      </c>
      <c r="D81" s="30">
        <v>2158</v>
      </c>
      <c r="E81" s="31">
        <v>0</v>
      </c>
      <c r="F81" s="31">
        <v>35</v>
      </c>
      <c r="G81" s="31">
        <f t="shared" si="43"/>
        <v>2193</v>
      </c>
      <c r="H81" s="32">
        <v>10</v>
      </c>
      <c r="I81" s="33">
        <v>0</v>
      </c>
      <c r="J81" s="33">
        <v>0</v>
      </c>
      <c r="K81" s="33">
        <f t="shared" si="40"/>
        <v>2203</v>
      </c>
      <c r="L81" s="32">
        <v>0</v>
      </c>
      <c r="M81" s="32">
        <v>0</v>
      </c>
      <c r="N81" s="33">
        <f t="shared" si="41"/>
        <v>2203</v>
      </c>
      <c r="O81" s="33">
        <v>2329</v>
      </c>
      <c r="P81" s="33">
        <v>0</v>
      </c>
      <c r="Q81" s="33">
        <v>18</v>
      </c>
      <c r="R81" s="31">
        <f t="shared" si="44"/>
        <v>2347</v>
      </c>
      <c r="S81" s="34">
        <v>0</v>
      </c>
      <c r="T81" s="35">
        <v>0</v>
      </c>
      <c r="U81" s="35">
        <f t="shared" si="45"/>
        <v>2347</v>
      </c>
      <c r="V81" s="34">
        <v>2347</v>
      </c>
      <c r="W81" s="34">
        <f>57</f>
        <v>57</v>
      </c>
      <c r="X81" s="35">
        <v>0</v>
      </c>
      <c r="Y81" s="34">
        <v>0</v>
      </c>
      <c r="Z81" s="87">
        <f t="shared" si="38"/>
        <v>2404</v>
      </c>
      <c r="AA81" s="87">
        <v>0</v>
      </c>
      <c r="AB81" s="87">
        <v>0</v>
      </c>
      <c r="AC81" s="27">
        <f t="shared" si="46"/>
        <v>2404</v>
      </c>
      <c r="AD81" s="26">
        <v>-185</v>
      </c>
      <c r="AE81" s="26">
        <v>0</v>
      </c>
      <c r="AF81" s="26">
        <f t="shared" si="39"/>
        <v>2219</v>
      </c>
      <c r="AG81" s="34">
        <v>0</v>
      </c>
      <c r="AH81" s="34">
        <v>0</v>
      </c>
      <c r="AI81" s="34">
        <f t="shared" si="42"/>
        <v>2219</v>
      </c>
    </row>
    <row r="82" spans="1:35" x14ac:dyDescent="0.25">
      <c r="A82" s="170" t="s">
        <v>123</v>
      </c>
      <c r="B82" s="162" t="s">
        <v>88</v>
      </c>
      <c r="C82" s="30"/>
      <c r="D82" s="30"/>
      <c r="E82" s="31"/>
      <c r="F82" s="31"/>
      <c r="G82" s="31"/>
      <c r="H82" s="32"/>
      <c r="I82" s="33"/>
      <c r="J82" s="33"/>
      <c r="K82" s="33"/>
      <c r="L82" s="32"/>
      <c r="M82" s="32"/>
      <c r="N82" s="33"/>
      <c r="O82" s="33"/>
      <c r="P82" s="33"/>
      <c r="Q82" s="33"/>
      <c r="R82" s="31"/>
      <c r="S82" s="34"/>
      <c r="T82" s="35"/>
      <c r="U82" s="35"/>
      <c r="V82" s="34">
        <v>0</v>
      </c>
      <c r="W82" s="34"/>
      <c r="X82" s="35"/>
      <c r="Y82" s="34"/>
      <c r="Z82" s="87">
        <v>0</v>
      </c>
      <c r="AA82" s="87">
        <v>0</v>
      </c>
      <c r="AB82" s="87">
        <f>510.23</f>
        <v>510.23</v>
      </c>
      <c r="AC82" s="27">
        <f>Z82+AA82+AB82</f>
        <v>510.23</v>
      </c>
      <c r="AD82" s="26">
        <v>0</v>
      </c>
      <c r="AE82" s="26">
        <v>0</v>
      </c>
      <c r="AF82" s="26">
        <f t="shared" si="39"/>
        <v>510.23</v>
      </c>
      <c r="AG82" s="34">
        <v>0</v>
      </c>
      <c r="AH82" s="34">
        <v>0</v>
      </c>
      <c r="AI82" s="34">
        <f t="shared" si="42"/>
        <v>510.23</v>
      </c>
    </row>
    <row r="83" spans="1:35" x14ac:dyDescent="0.25">
      <c r="A83" s="174" t="s">
        <v>124</v>
      </c>
      <c r="B83" s="162" t="s">
        <v>117</v>
      </c>
      <c r="C83" s="30"/>
      <c r="D83" s="30"/>
      <c r="E83" s="31"/>
      <c r="F83" s="31"/>
      <c r="G83" s="31"/>
      <c r="H83" s="32"/>
      <c r="I83" s="33"/>
      <c r="J83" s="33"/>
      <c r="K83" s="33"/>
      <c r="L83" s="32"/>
      <c r="M83" s="32"/>
      <c r="N83" s="33"/>
      <c r="O83" s="33"/>
      <c r="P83" s="33"/>
      <c r="Q83" s="33"/>
      <c r="R83" s="31"/>
      <c r="S83" s="34"/>
      <c r="T83" s="35"/>
      <c r="U83" s="35"/>
      <c r="V83" s="34">
        <v>0</v>
      </c>
      <c r="W83" s="34"/>
      <c r="X83" s="35"/>
      <c r="Y83" s="34"/>
      <c r="Z83" s="87"/>
      <c r="AA83" s="87"/>
      <c r="AB83" s="87"/>
      <c r="AC83" s="27">
        <v>0</v>
      </c>
      <c r="AD83" s="26">
        <v>0</v>
      </c>
      <c r="AE83" s="26">
        <f>165.25</f>
        <v>165.25</v>
      </c>
      <c r="AF83" s="26">
        <f>SUM(AC83:AE83)</f>
        <v>165.25</v>
      </c>
      <c r="AG83" s="34">
        <v>0</v>
      </c>
      <c r="AH83" s="34">
        <v>0</v>
      </c>
      <c r="AI83" s="34">
        <f t="shared" si="42"/>
        <v>165.25</v>
      </c>
    </row>
    <row r="84" spans="1:35" x14ac:dyDescent="0.25">
      <c r="A84" s="170" t="s">
        <v>125</v>
      </c>
      <c r="B84" s="162" t="s">
        <v>88</v>
      </c>
      <c r="C84" s="30">
        <v>1197.5</v>
      </c>
      <c r="D84" s="30">
        <v>1202</v>
      </c>
      <c r="E84" s="31">
        <v>0</v>
      </c>
      <c r="F84" s="31">
        <v>8</v>
      </c>
      <c r="G84" s="31">
        <f t="shared" si="43"/>
        <v>1210</v>
      </c>
      <c r="H84" s="32">
        <v>10</v>
      </c>
      <c r="I84" s="33">
        <v>0</v>
      </c>
      <c r="J84" s="33">
        <v>0</v>
      </c>
      <c r="K84" s="33">
        <f t="shared" si="40"/>
        <v>1220</v>
      </c>
      <c r="L84" s="32">
        <v>0</v>
      </c>
      <c r="M84" s="32">
        <v>0</v>
      </c>
      <c r="N84" s="33">
        <f t="shared" si="41"/>
        <v>1220</v>
      </c>
      <c r="O84" s="33">
        <v>1270</v>
      </c>
      <c r="P84" s="33">
        <v>0</v>
      </c>
      <c r="Q84" s="33">
        <v>4</v>
      </c>
      <c r="R84" s="31">
        <f t="shared" si="44"/>
        <v>1274</v>
      </c>
      <c r="S84" s="34">
        <v>0</v>
      </c>
      <c r="T84" s="35">
        <v>0</v>
      </c>
      <c r="U84" s="35">
        <f t="shared" si="45"/>
        <v>1274</v>
      </c>
      <c r="V84" s="34">
        <v>1274</v>
      </c>
      <c r="W84" s="34">
        <f>13</f>
        <v>13</v>
      </c>
      <c r="X84" s="35">
        <v>0</v>
      </c>
      <c r="Y84" s="34">
        <v>0</v>
      </c>
      <c r="Z84" s="87">
        <f t="shared" si="38"/>
        <v>1287</v>
      </c>
      <c r="AA84" s="87">
        <v>0</v>
      </c>
      <c r="AB84" s="87">
        <v>0</v>
      </c>
      <c r="AC84" s="27">
        <f t="shared" si="46"/>
        <v>1287</v>
      </c>
      <c r="AD84" s="26">
        <v>-102</v>
      </c>
      <c r="AE84" s="26">
        <v>0</v>
      </c>
      <c r="AF84" s="26">
        <f t="shared" si="39"/>
        <v>1185</v>
      </c>
      <c r="AG84" s="34">
        <v>0</v>
      </c>
      <c r="AH84" s="34">
        <v>0</v>
      </c>
      <c r="AI84" s="34">
        <f t="shared" si="42"/>
        <v>1185</v>
      </c>
    </row>
    <row r="85" spans="1:35" x14ac:dyDescent="0.25">
      <c r="A85" s="170" t="s">
        <v>126</v>
      </c>
      <c r="B85" s="162" t="s">
        <v>88</v>
      </c>
      <c r="C85" s="30"/>
      <c r="D85" s="30"/>
      <c r="E85" s="31"/>
      <c r="F85" s="31"/>
      <c r="G85" s="31"/>
      <c r="H85" s="32"/>
      <c r="I85" s="33"/>
      <c r="J85" s="33"/>
      <c r="K85" s="33"/>
      <c r="L85" s="32"/>
      <c r="M85" s="32"/>
      <c r="N85" s="33"/>
      <c r="O85" s="33"/>
      <c r="P85" s="33"/>
      <c r="Q85" s="33"/>
      <c r="R85" s="31"/>
      <c r="S85" s="34"/>
      <c r="T85" s="35"/>
      <c r="U85" s="35"/>
      <c r="V85" s="34">
        <v>0</v>
      </c>
      <c r="W85" s="34"/>
      <c r="X85" s="35"/>
      <c r="Y85" s="34"/>
      <c r="Z85" s="87">
        <v>0</v>
      </c>
      <c r="AA85" s="87">
        <v>0</v>
      </c>
      <c r="AB85" s="87">
        <v>367.45</v>
      </c>
      <c r="AC85" s="27">
        <f t="shared" si="46"/>
        <v>367.45</v>
      </c>
      <c r="AD85" s="26">
        <v>0</v>
      </c>
      <c r="AE85" s="26">
        <v>0</v>
      </c>
      <c r="AF85" s="26">
        <f t="shared" si="39"/>
        <v>367.45</v>
      </c>
      <c r="AG85" s="34">
        <v>0</v>
      </c>
      <c r="AH85" s="34">
        <v>0</v>
      </c>
      <c r="AI85" s="34">
        <f t="shared" si="42"/>
        <v>367.45</v>
      </c>
    </row>
    <row r="86" spans="1:35" x14ac:dyDescent="0.25">
      <c r="A86" s="174" t="s">
        <v>127</v>
      </c>
      <c r="B86" s="162" t="s">
        <v>117</v>
      </c>
      <c r="C86" s="30"/>
      <c r="D86" s="30"/>
      <c r="E86" s="31"/>
      <c r="F86" s="31"/>
      <c r="G86" s="31"/>
      <c r="H86" s="32"/>
      <c r="I86" s="33"/>
      <c r="J86" s="33"/>
      <c r="K86" s="33"/>
      <c r="L86" s="32"/>
      <c r="M86" s="32"/>
      <c r="N86" s="33"/>
      <c r="O86" s="33"/>
      <c r="P86" s="33"/>
      <c r="Q86" s="33"/>
      <c r="R86" s="31"/>
      <c r="S86" s="34"/>
      <c r="T86" s="35"/>
      <c r="U86" s="35"/>
      <c r="V86" s="34">
        <v>0</v>
      </c>
      <c r="W86" s="34"/>
      <c r="X86" s="35"/>
      <c r="Y86" s="34"/>
      <c r="Z86" s="87"/>
      <c r="AA86" s="87"/>
      <c r="AB86" s="87"/>
      <c r="AC86" s="27">
        <v>0</v>
      </c>
      <c r="AD86" s="26">
        <v>0</v>
      </c>
      <c r="AE86" s="26">
        <f>45.47</f>
        <v>45.47</v>
      </c>
      <c r="AF86" s="26">
        <f>SUM(AC86:AE86)</f>
        <v>45.47</v>
      </c>
      <c r="AG86" s="34">
        <v>0</v>
      </c>
      <c r="AH86" s="34">
        <v>0</v>
      </c>
      <c r="AI86" s="34">
        <f t="shared" si="42"/>
        <v>45.47</v>
      </c>
    </row>
    <row r="87" spans="1:35" x14ac:dyDescent="0.25">
      <c r="A87" s="170" t="s">
        <v>128</v>
      </c>
      <c r="B87" s="162" t="s">
        <v>88</v>
      </c>
      <c r="C87" s="30">
        <v>153</v>
      </c>
      <c r="D87" s="30">
        <v>153</v>
      </c>
      <c r="E87" s="31">
        <v>0</v>
      </c>
      <c r="F87" s="31">
        <v>0</v>
      </c>
      <c r="G87" s="31">
        <f t="shared" si="43"/>
        <v>153</v>
      </c>
      <c r="H87" s="32">
        <v>0</v>
      </c>
      <c r="I87" s="33">
        <v>0</v>
      </c>
      <c r="J87" s="33">
        <v>0</v>
      </c>
      <c r="K87" s="33">
        <f t="shared" si="40"/>
        <v>153</v>
      </c>
      <c r="L87" s="32">
        <v>0</v>
      </c>
      <c r="M87" s="32">
        <v>0</v>
      </c>
      <c r="N87" s="33">
        <f t="shared" si="41"/>
        <v>153</v>
      </c>
      <c r="O87" s="33">
        <v>191</v>
      </c>
      <c r="P87" s="33">
        <v>0</v>
      </c>
      <c r="Q87" s="33">
        <v>0</v>
      </c>
      <c r="R87" s="31">
        <f t="shared" si="44"/>
        <v>191</v>
      </c>
      <c r="S87" s="34">
        <v>0</v>
      </c>
      <c r="T87" s="35">
        <v>0</v>
      </c>
      <c r="U87" s="35">
        <f t="shared" si="45"/>
        <v>191</v>
      </c>
      <c r="V87" s="34">
        <v>191</v>
      </c>
      <c r="W87" s="34">
        <v>0</v>
      </c>
      <c r="X87" s="35">
        <v>0</v>
      </c>
      <c r="Y87" s="34">
        <v>0</v>
      </c>
      <c r="Z87" s="87">
        <f t="shared" si="38"/>
        <v>191</v>
      </c>
      <c r="AA87" s="87">
        <v>0</v>
      </c>
      <c r="AB87" s="87">
        <v>0</v>
      </c>
      <c r="AC87" s="27">
        <f t="shared" si="46"/>
        <v>191</v>
      </c>
      <c r="AD87" s="26">
        <v>0</v>
      </c>
      <c r="AE87" s="26">
        <v>0</v>
      </c>
      <c r="AF87" s="26">
        <f t="shared" si="39"/>
        <v>191</v>
      </c>
      <c r="AG87" s="34">
        <v>0</v>
      </c>
      <c r="AH87" s="34">
        <v>0</v>
      </c>
      <c r="AI87" s="34">
        <f t="shared" si="42"/>
        <v>191</v>
      </c>
    </row>
    <row r="88" spans="1:35" x14ac:dyDescent="0.25">
      <c r="A88" s="170" t="s">
        <v>129</v>
      </c>
      <c r="B88" s="162" t="s">
        <v>88</v>
      </c>
      <c r="C88" s="30">
        <v>1132.5</v>
      </c>
      <c r="D88" s="30">
        <v>1141</v>
      </c>
      <c r="E88" s="31">
        <v>0</v>
      </c>
      <c r="F88" s="31">
        <v>18</v>
      </c>
      <c r="G88" s="31">
        <f t="shared" si="43"/>
        <v>1159</v>
      </c>
      <c r="H88" s="32">
        <v>0</v>
      </c>
      <c r="I88" s="33">
        <v>0</v>
      </c>
      <c r="J88" s="33">
        <v>0</v>
      </c>
      <c r="K88" s="33">
        <f t="shared" si="40"/>
        <v>1159</v>
      </c>
      <c r="L88" s="32">
        <v>0</v>
      </c>
      <c r="M88" s="32">
        <v>0</v>
      </c>
      <c r="N88" s="33">
        <f t="shared" si="41"/>
        <v>1159</v>
      </c>
      <c r="O88" s="33">
        <v>1209</v>
      </c>
      <c r="P88" s="33">
        <v>0</v>
      </c>
      <c r="Q88" s="33">
        <v>10</v>
      </c>
      <c r="R88" s="31">
        <f t="shared" si="44"/>
        <v>1219</v>
      </c>
      <c r="S88" s="34">
        <v>0</v>
      </c>
      <c r="T88" s="35">
        <v>0</v>
      </c>
      <c r="U88" s="35">
        <f t="shared" si="45"/>
        <v>1219</v>
      </c>
      <c r="V88" s="34">
        <v>1219</v>
      </c>
      <c r="W88" s="34">
        <f>33</f>
        <v>33</v>
      </c>
      <c r="X88" s="35">
        <v>0</v>
      </c>
      <c r="Y88" s="34">
        <v>0</v>
      </c>
      <c r="Z88" s="87">
        <f>SUM(V88:X88)</f>
        <v>1252</v>
      </c>
      <c r="AA88" s="87">
        <v>0</v>
      </c>
      <c r="AB88" s="87">
        <v>0</v>
      </c>
      <c r="AC88" s="27">
        <f t="shared" si="46"/>
        <v>1252</v>
      </c>
      <c r="AD88" s="26">
        <v>0</v>
      </c>
      <c r="AE88" s="26">
        <v>0</v>
      </c>
      <c r="AF88" s="26">
        <f t="shared" si="39"/>
        <v>1252</v>
      </c>
      <c r="AG88" s="34">
        <v>0</v>
      </c>
      <c r="AH88" s="34">
        <v>0</v>
      </c>
      <c r="AI88" s="34">
        <f t="shared" si="42"/>
        <v>1252</v>
      </c>
    </row>
    <row r="89" spans="1:35" x14ac:dyDescent="0.25">
      <c r="A89" s="170" t="s">
        <v>130</v>
      </c>
      <c r="B89" s="162" t="s">
        <v>88</v>
      </c>
      <c r="C89" s="30">
        <v>214</v>
      </c>
      <c r="D89" s="30">
        <v>214</v>
      </c>
      <c r="E89" s="31">
        <v>0</v>
      </c>
      <c r="F89" s="31">
        <v>0</v>
      </c>
      <c r="G89" s="31">
        <f t="shared" si="43"/>
        <v>214</v>
      </c>
      <c r="H89" s="32">
        <v>0</v>
      </c>
      <c r="I89" s="33">
        <v>0</v>
      </c>
      <c r="J89" s="33">
        <v>0</v>
      </c>
      <c r="K89" s="33">
        <f t="shared" si="40"/>
        <v>214</v>
      </c>
      <c r="L89" s="32">
        <v>0</v>
      </c>
      <c r="M89" s="32">
        <v>0</v>
      </c>
      <c r="N89" s="33">
        <f t="shared" si="41"/>
        <v>214</v>
      </c>
      <c r="O89" s="33">
        <v>244</v>
      </c>
      <c r="P89" s="33">
        <v>0</v>
      </c>
      <c r="Q89" s="33">
        <v>0</v>
      </c>
      <c r="R89" s="31">
        <f t="shared" si="44"/>
        <v>244</v>
      </c>
      <c r="S89" s="34">
        <v>0</v>
      </c>
      <c r="T89" s="35">
        <v>0</v>
      </c>
      <c r="U89" s="35">
        <f t="shared" si="45"/>
        <v>244</v>
      </c>
      <c r="V89" s="34">
        <v>244</v>
      </c>
      <c r="W89" s="34">
        <f>V89-U89</f>
        <v>0</v>
      </c>
      <c r="X89" s="35">
        <v>0</v>
      </c>
      <c r="Y89" s="34">
        <v>0</v>
      </c>
      <c r="Z89" s="87">
        <f>SUM(V89:Y89)</f>
        <v>244</v>
      </c>
      <c r="AA89" s="87">
        <v>0</v>
      </c>
      <c r="AB89" s="87">
        <v>0</v>
      </c>
      <c r="AC89" s="27">
        <f t="shared" si="46"/>
        <v>244</v>
      </c>
      <c r="AD89" s="26">
        <v>0</v>
      </c>
      <c r="AE89" s="26">
        <v>0</v>
      </c>
      <c r="AF89" s="26">
        <f t="shared" si="39"/>
        <v>244</v>
      </c>
      <c r="AG89" s="34">
        <v>0</v>
      </c>
      <c r="AH89" s="34">
        <v>0</v>
      </c>
      <c r="AI89" s="34">
        <f t="shared" si="42"/>
        <v>244</v>
      </c>
    </row>
    <row r="90" spans="1:35" x14ac:dyDescent="0.25">
      <c r="A90" s="170" t="s">
        <v>131</v>
      </c>
      <c r="B90" s="162" t="s">
        <v>88</v>
      </c>
      <c r="C90" s="30">
        <v>142</v>
      </c>
      <c r="D90" s="30">
        <v>142</v>
      </c>
      <c r="E90" s="31">
        <v>0</v>
      </c>
      <c r="F90" s="31">
        <v>0</v>
      </c>
      <c r="G90" s="31">
        <f t="shared" si="43"/>
        <v>142</v>
      </c>
      <c r="H90" s="32">
        <v>0</v>
      </c>
      <c r="I90" s="33">
        <v>0</v>
      </c>
      <c r="J90" s="33">
        <v>0</v>
      </c>
      <c r="K90" s="33">
        <f t="shared" si="40"/>
        <v>142</v>
      </c>
      <c r="L90" s="32">
        <v>0</v>
      </c>
      <c r="M90" s="32">
        <v>0</v>
      </c>
      <c r="N90" s="33">
        <f t="shared" si="41"/>
        <v>142</v>
      </c>
      <c r="O90" s="33">
        <v>173</v>
      </c>
      <c r="P90" s="33">
        <v>0</v>
      </c>
      <c r="Q90" s="33">
        <v>0</v>
      </c>
      <c r="R90" s="31">
        <f t="shared" si="44"/>
        <v>173</v>
      </c>
      <c r="S90" s="34">
        <v>0</v>
      </c>
      <c r="T90" s="35">
        <v>0</v>
      </c>
      <c r="U90" s="35">
        <f>SUM(R90:T90)</f>
        <v>173</v>
      </c>
      <c r="V90" s="34">
        <v>173</v>
      </c>
      <c r="W90" s="34">
        <f>V90-U90</f>
        <v>0</v>
      </c>
      <c r="X90" s="35">
        <v>0</v>
      </c>
      <c r="Y90" s="34">
        <v>0</v>
      </c>
      <c r="Z90" s="87">
        <f t="shared" ref="Z90:Z163" si="47">SUM(V90:Y90)</f>
        <v>173</v>
      </c>
      <c r="AA90" s="87">
        <v>0</v>
      </c>
      <c r="AB90" s="87">
        <v>0</v>
      </c>
      <c r="AC90" s="27">
        <f t="shared" si="46"/>
        <v>173</v>
      </c>
      <c r="AD90" s="26">
        <v>0</v>
      </c>
      <c r="AE90" s="26">
        <v>0</v>
      </c>
      <c r="AF90" s="26">
        <f t="shared" si="39"/>
        <v>173</v>
      </c>
      <c r="AG90" s="34">
        <f>50</f>
        <v>50</v>
      </c>
      <c r="AH90" s="34">
        <v>0</v>
      </c>
      <c r="AI90" s="34">
        <f t="shared" si="42"/>
        <v>223</v>
      </c>
    </row>
    <row r="91" spans="1:35" x14ac:dyDescent="0.25">
      <c r="A91" s="170" t="s">
        <v>132</v>
      </c>
      <c r="B91" s="162" t="s">
        <v>88</v>
      </c>
      <c r="C91" s="30">
        <v>2540</v>
      </c>
      <c r="D91" s="30">
        <v>2565</v>
      </c>
      <c r="E91" s="31">
        <v>0</v>
      </c>
      <c r="F91" s="31">
        <v>50</v>
      </c>
      <c r="G91" s="31">
        <f t="shared" si="43"/>
        <v>2615</v>
      </c>
      <c r="H91" s="32">
        <v>10</v>
      </c>
      <c r="I91" s="33">
        <v>0</v>
      </c>
      <c r="J91" s="33">
        <v>0</v>
      </c>
      <c r="K91" s="33">
        <f t="shared" si="40"/>
        <v>2625</v>
      </c>
      <c r="L91" s="32">
        <v>0</v>
      </c>
      <c r="M91" s="32">
        <v>0</v>
      </c>
      <c r="N91" s="33">
        <f t="shared" si="41"/>
        <v>2625</v>
      </c>
      <c r="O91" s="33">
        <v>2786</v>
      </c>
      <c r="P91" s="33">
        <v>0</v>
      </c>
      <c r="Q91" s="33">
        <v>30</v>
      </c>
      <c r="R91" s="31">
        <f t="shared" si="44"/>
        <v>2816</v>
      </c>
      <c r="S91" s="34">
        <v>0</v>
      </c>
      <c r="T91" s="35">
        <v>0</v>
      </c>
      <c r="U91" s="35">
        <f t="shared" ref="U91:U101" si="48">SUM(R91:T91)</f>
        <v>2816</v>
      </c>
      <c r="V91" s="34">
        <v>2816</v>
      </c>
      <c r="W91" s="34">
        <f>95</f>
        <v>95</v>
      </c>
      <c r="X91" s="35">
        <v>0</v>
      </c>
      <c r="Y91" s="34">
        <v>0</v>
      </c>
      <c r="Z91" s="87">
        <f t="shared" si="47"/>
        <v>2911</v>
      </c>
      <c r="AA91" s="87">
        <v>0</v>
      </c>
      <c r="AB91" s="87">
        <v>0</v>
      </c>
      <c r="AC91" s="27">
        <f t="shared" si="46"/>
        <v>2911</v>
      </c>
      <c r="AD91" s="26">
        <v>-130</v>
      </c>
      <c r="AE91" s="26">
        <v>0</v>
      </c>
      <c r="AF91" s="26">
        <f t="shared" si="39"/>
        <v>2781</v>
      </c>
      <c r="AG91" s="34">
        <v>0</v>
      </c>
      <c r="AH91" s="34">
        <v>0</v>
      </c>
      <c r="AI91" s="34">
        <f t="shared" si="42"/>
        <v>2781</v>
      </c>
    </row>
    <row r="92" spans="1:35" x14ac:dyDescent="0.25">
      <c r="A92" s="170" t="s">
        <v>133</v>
      </c>
      <c r="B92" s="162" t="s">
        <v>88</v>
      </c>
      <c r="C92" s="30"/>
      <c r="D92" s="30"/>
      <c r="E92" s="31"/>
      <c r="F92" s="31"/>
      <c r="G92" s="31"/>
      <c r="H92" s="32"/>
      <c r="I92" s="33"/>
      <c r="J92" s="33"/>
      <c r="K92" s="33"/>
      <c r="L92" s="32"/>
      <c r="M92" s="32"/>
      <c r="N92" s="33"/>
      <c r="O92" s="33"/>
      <c r="P92" s="33"/>
      <c r="Q92" s="33"/>
      <c r="R92" s="31"/>
      <c r="S92" s="34"/>
      <c r="T92" s="35"/>
      <c r="U92" s="35"/>
      <c r="V92" s="34">
        <v>0</v>
      </c>
      <c r="W92" s="34"/>
      <c r="X92" s="35"/>
      <c r="Y92" s="34"/>
      <c r="Z92" s="87">
        <v>0</v>
      </c>
      <c r="AA92" s="87">
        <v>0</v>
      </c>
      <c r="AB92" s="87">
        <v>585.63</v>
      </c>
      <c r="AC92" s="35">
        <f t="shared" si="46"/>
        <v>585.63</v>
      </c>
      <c r="AD92" s="34">
        <v>0</v>
      </c>
      <c r="AE92" s="34">
        <v>0</v>
      </c>
      <c r="AF92" s="34">
        <f t="shared" si="39"/>
        <v>585.63</v>
      </c>
      <c r="AG92" s="34">
        <v>0</v>
      </c>
      <c r="AH92" s="34">
        <v>0</v>
      </c>
      <c r="AI92" s="34">
        <f t="shared" si="42"/>
        <v>585.63</v>
      </c>
    </row>
    <row r="93" spans="1:35" ht="16.5" customHeight="1" x14ac:dyDescent="0.25">
      <c r="A93" s="170" t="s">
        <v>134</v>
      </c>
      <c r="B93" s="162" t="s">
        <v>88</v>
      </c>
      <c r="C93" s="30">
        <v>210</v>
      </c>
      <c r="D93" s="30">
        <v>210</v>
      </c>
      <c r="E93" s="31">
        <v>0</v>
      </c>
      <c r="F93" s="31">
        <v>0</v>
      </c>
      <c r="G93" s="31">
        <f t="shared" si="43"/>
        <v>210</v>
      </c>
      <c r="H93" s="32">
        <v>0</v>
      </c>
      <c r="I93" s="33">
        <v>0</v>
      </c>
      <c r="J93" s="33">
        <v>0</v>
      </c>
      <c r="K93" s="33">
        <f t="shared" si="40"/>
        <v>210</v>
      </c>
      <c r="L93" s="32">
        <v>0</v>
      </c>
      <c r="M93" s="32">
        <v>0</v>
      </c>
      <c r="N93" s="33">
        <f t="shared" si="41"/>
        <v>210</v>
      </c>
      <c r="O93" s="33">
        <v>246</v>
      </c>
      <c r="P93" s="33">
        <v>0</v>
      </c>
      <c r="Q93" s="33">
        <v>0</v>
      </c>
      <c r="R93" s="31">
        <f t="shared" si="44"/>
        <v>246</v>
      </c>
      <c r="S93" s="34">
        <v>0</v>
      </c>
      <c r="T93" s="35">
        <v>0</v>
      </c>
      <c r="U93" s="35">
        <f t="shared" si="48"/>
        <v>246</v>
      </c>
      <c r="V93" s="34">
        <v>246</v>
      </c>
      <c r="W93" s="34">
        <v>0</v>
      </c>
      <c r="X93" s="35">
        <v>0</v>
      </c>
      <c r="Y93" s="34">
        <v>0</v>
      </c>
      <c r="Z93" s="87">
        <f t="shared" si="47"/>
        <v>246</v>
      </c>
      <c r="AA93" s="87">
        <v>0</v>
      </c>
      <c r="AB93" s="87">
        <v>0</v>
      </c>
      <c r="AC93" s="27">
        <f t="shared" si="46"/>
        <v>246</v>
      </c>
      <c r="AD93" s="26">
        <v>0</v>
      </c>
      <c r="AE93" s="26">
        <v>0</v>
      </c>
      <c r="AF93" s="26">
        <f t="shared" si="39"/>
        <v>246</v>
      </c>
      <c r="AG93" s="34">
        <v>0</v>
      </c>
      <c r="AH93" s="34">
        <v>0</v>
      </c>
      <c r="AI93" s="34">
        <f t="shared" si="42"/>
        <v>246</v>
      </c>
    </row>
    <row r="94" spans="1:35" x14ac:dyDescent="0.25">
      <c r="A94" s="171" t="s">
        <v>135</v>
      </c>
      <c r="B94" s="162" t="s">
        <v>88</v>
      </c>
      <c r="C94" s="22">
        <v>1817</v>
      </c>
      <c r="D94" s="22">
        <v>1838</v>
      </c>
      <c r="E94" s="23">
        <v>0</v>
      </c>
      <c r="F94" s="23">
        <v>42</v>
      </c>
      <c r="G94" s="23">
        <f t="shared" si="43"/>
        <v>1880</v>
      </c>
      <c r="H94" s="24">
        <v>10</v>
      </c>
      <c r="I94" s="25">
        <v>0</v>
      </c>
      <c r="J94" s="25">
        <v>0</v>
      </c>
      <c r="K94" s="25">
        <f t="shared" si="40"/>
        <v>1890</v>
      </c>
      <c r="L94" s="24">
        <v>0</v>
      </c>
      <c r="M94" s="24">
        <v>0</v>
      </c>
      <c r="N94" s="25">
        <f t="shared" si="41"/>
        <v>1890</v>
      </c>
      <c r="O94" s="25">
        <v>2000</v>
      </c>
      <c r="P94" s="25">
        <v>0</v>
      </c>
      <c r="Q94" s="25">
        <v>21</v>
      </c>
      <c r="R94" s="31">
        <f t="shared" si="44"/>
        <v>2021</v>
      </c>
      <c r="S94" s="34">
        <v>0</v>
      </c>
      <c r="T94" s="35">
        <v>0</v>
      </c>
      <c r="U94" s="35">
        <f t="shared" si="48"/>
        <v>2021</v>
      </c>
      <c r="V94" s="34">
        <v>2200</v>
      </c>
      <c r="W94" s="34">
        <f>69</f>
        <v>69</v>
      </c>
      <c r="X94" s="35">
        <v>0</v>
      </c>
      <c r="Y94" s="34">
        <v>0</v>
      </c>
      <c r="Z94" s="87">
        <f t="shared" si="47"/>
        <v>2269</v>
      </c>
      <c r="AA94" s="87">
        <f>63.6</f>
        <v>63.6</v>
      </c>
      <c r="AB94" s="87">
        <v>0</v>
      </c>
      <c r="AC94" s="27">
        <f t="shared" si="46"/>
        <v>2332.6</v>
      </c>
      <c r="AD94" s="26">
        <v>-120</v>
      </c>
      <c r="AE94" s="26">
        <v>0</v>
      </c>
      <c r="AF94" s="26">
        <f t="shared" si="39"/>
        <v>2212.6</v>
      </c>
      <c r="AG94" s="34">
        <v>0</v>
      </c>
      <c r="AH94" s="34">
        <v>0</v>
      </c>
      <c r="AI94" s="34">
        <f t="shared" si="42"/>
        <v>2212.6</v>
      </c>
    </row>
    <row r="95" spans="1:35" x14ac:dyDescent="0.25">
      <c r="A95" s="172" t="s">
        <v>136</v>
      </c>
      <c r="B95" s="162" t="s">
        <v>117</v>
      </c>
      <c r="C95" s="22"/>
      <c r="D95" s="22"/>
      <c r="E95" s="23"/>
      <c r="F95" s="23"/>
      <c r="G95" s="23"/>
      <c r="H95" s="24"/>
      <c r="I95" s="25"/>
      <c r="J95" s="25"/>
      <c r="K95" s="25"/>
      <c r="L95" s="24"/>
      <c r="M95" s="24"/>
      <c r="N95" s="25"/>
      <c r="O95" s="25"/>
      <c r="P95" s="25"/>
      <c r="Q95" s="25"/>
      <c r="R95" s="31"/>
      <c r="S95" s="34"/>
      <c r="T95" s="35"/>
      <c r="U95" s="35"/>
      <c r="V95" s="34">
        <v>0</v>
      </c>
      <c r="W95" s="34"/>
      <c r="X95" s="35"/>
      <c r="Y95" s="34"/>
      <c r="Z95" s="87"/>
      <c r="AA95" s="87"/>
      <c r="AB95" s="87"/>
      <c r="AC95" s="27">
        <v>0</v>
      </c>
      <c r="AD95" s="26">
        <v>0</v>
      </c>
      <c r="AE95" s="26">
        <f>80.59</f>
        <v>80.59</v>
      </c>
      <c r="AF95" s="26">
        <f>SUM(AC95:AE95)</f>
        <v>80.59</v>
      </c>
      <c r="AG95" s="34">
        <v>0</v>
      </c>
      <c r="AH95" s="34">
        <v>0</v>
      </c>
      <c r="AI95" s="34">
        <f t="shared" si="42"/>
        <v>80.59</v>
      </c>
    </row>
    <row r="96" spans="1:35" ht="28.5" customHeight="1" x14ac:dyDescent="0.25">
      <c r="A96" s="168" t="s">
        <v>137</v>
      </c>
      <c r="B96" s="162" t="s">
        <v>88</v>
      </c>
      <c r="C96" s="30">
        <v>3833</v>
      </c>
      <c r="D96" s="30">
        <v>3833</v>
      </c>
      <c r="E96" s="31">
        <v>0</v>
      </c>
      <c r="F96" s="31">
        <v>0</v>
      </c>
      <c r="G96" s="31">
        <f t="shared" si="43"/>
        <v>3833</v>
      </c>
      <c r="H96" s="32">
        <v>10</v>
      </c>
      <c r="I96" s="33">
        <v>0</v>
      </c>
      <c r="J96" s="33">
        <v>0</v>
      </c>
      <c r="K96" s="33">
        <f t="shared" si="40"/>
        <v>3843</v>
      </c>
      <c r="L96" s="32">
        <v>0</v>
      </c>
      <c r="M96" s="32">
        <v>0</v>
      </c>
      <c r="N96" s="33">
        <f t="shared" si="41"/>
        <v>3843</v>
      </c>
      <c r="O96" s="33">
        <v>4175</v>
      </c>
      <c r="P96" s="33">
        <v>0</v>
      </c>
      <c r="Q96" s="33">
        <v>0</v>
      </c>
      <c r="R96" s="31">
        <f t="shared" si="44"/>
        <v>4175</v>
      </c>
      <c r="S96" s="32">
        <v>0</v>
      </c>
      <c r="T96" s="33">
        <v>0</v>
      </c>
      <c r="U96" s="33">
        <f t="shared" si="48"/>
        <v>4175</v>
      </c>
      <c r="V96" s="34">
        <v>4376</v>
      </c>
      <c r="W96" s="34">
        <f>85</f>
        <v>85</v>
      </c>
      <c r="X96" s="35">
        <v>0</v>
      </c>
      <c r="Y96" s="34">
        <v>0</v>
      </c>
      <c r="Z96" s="87">
        <f t="shared" si="47"/>
        <v>4461</v>
      </c>
      <c r="AA96" s="87">
        <v>0</v>
      </c>
      <c r="AB96" s="87">
        <v>0</v>
      </c>
      <c r="AC96" s="27">
        <f t="shared" si="46"/>
        <v>4461</v>
      </c>
      <c r="AD96" s="26">
        <v>-156</v>
      </c>
      <c r="AE96" s="26">
        <v>0</v>
      </c>
      <c r="AF96" s="26">
        <f t="shared" si="39"/>
        <v>4305</v>
      </c>
      <c r="AG96" s="34">
        <f>-40</f>
        <v>-40</v>
      </c>
      <c r="AH96" s="34">
        <v>0</v>
      </c>
      <c r="AI96" s="34">
        <f t="shared" si="42"/>
        <v>4265</v>
      </c>
    </row>
    <row r="97" spans="1:35" x14ac:dyDescent="0.25">
      <c r="A97" s="170" t="s">
        <v>138</v>
      </c>
      <c r="B97" s="162" t="s">
        <v>88</v>
      </c>
      <c r="C97" s="30">
        <v>3101</v>
      </c>
      <c r="D97" s="30">
        <v>3112</v>
      </c>
      <c r="E97" s="31">
        <v>0</v>
      </c>
      <c r="F97" s="31">
        <v>22</v>
      </c>
      <c r="G97" s="31">
        <f t="shared" si="43"/>
        <v>3134</v>
      </c>
      <c r="H97" s="32">
        <v>10</v>
      </c>
      <c r="I97" s="33">
        <v>0</v>
      </c>
      <c r="J97" s="33">
        <v>0</v>
      </c>
      <c r="K97" s="33">
        <f t="shared" si="40"/>
        <v>3144</v>
      </c>
      <c r="L97" s="32">
        <v>0</v>
      </c>
      <c r="M97" s="32">
        <v>0</v>
      </c>
      <c r="N97" s="33">
        <f t="shared" si="41"/>
        <v>3144</v>
      </c>
      <c r="O97" s="33">
        <v>3412</v>
      </c>
      <c r="P97" s="33">
        <v>0</v>
      </c>
      <c r="Q97" s="33">
        <v>11</v>
      </c>
      <c r="R97" s="31">
        <f t="shared" si="44"/>
        <v>3423</v>
      </c>
      <c r="S97" s="34">
        <v>0</v>
      </c>
      <c r="T97" s="35">
        <v>0</v>
      </c>
      <c r="U97" s="35">
        <f t="shared" si="48"/>
        <v>3423</v>
      </c>
      <c r="V97" s="34">
        <v>3624</v>
      </c>
      <c r="W97" s="34">
        <f>129</f>
        <v>129</v>
      </c>
      <c r="X97" s="35">
        <v>0</v>
      </c>
      <c r="Y97" s="34">
        <v>0</v>
      </c>
      <c r="Z97" s="87">
        <f t="shared" si="47"/>
        <v>3753</v>
      </c>
      <c r="AA97" s="87">
        <v>0</v>
      </c>
      <c r="AB97" s="87">
        <v>0</v>
      </c>
      <c r="AC97" s="27">
        <f t="shared" si="46"/>
        <v>3753</v>
      </c>
      <c r="AD97" s="26">
        <v>-293</v>
      </c>
      <c r="AE97" s="26">
        <v>0</v>
      </c>
      <c r="AF97" s="26">
        <f t="shared" si="39"/>
        <v>3460</v>
      </c>
      <c r="AG97" s="34">
        <f>-5-43</f>
        <v>-48</v>
      </c>
      <c r="AH97" s="34">
        <v>0</v>
      </c>
      <c r="AI97" s="34">
        <f t="shared" si="42"/>
        <v>3412</v>
      </c>
    </row>
    <row r="98" spans="1:35" x14ac:dyDescent="0.25">
      <c r="A98" s="171" t="s">
        <v>139</v>
      </c>
      <c r="B98" s="162" t="s">
        <v>88</v>
      </c>
      <c r="C98" s="22"/>
      <c r="D98" s="22"/>
      <c r="E98" s="23"/>
      <c r="F98" s="23"/>
      <c r="G98" s="23"/>
      <c r="H98" s="24"/>
      <c r="I98" s="25"/>
      <c r="J98" s="25"/>
      <c r="K98" s="25"/>
      <c r="L98" s="24"/>
      <c r="M98" s="24"/>
      <c r="N98" s="25"/>
      <c r="O98" s="25"/>
      <c r="P98" s="25"/>
      <c r="Q98" s="25"/>
      <c r="R98" s="31"/>
      <c r="S98" s="34"/>
      <c r="T98" s="35"/>
      <c r="U98" s="35"/>
      <c r="V98" s="34">
        <v>0</v>
      </c>
      <c r="W98" s="34"/>
      <c r="X98" s="35"/>
      <c r="Y98" s="34"/>
      <c r="Z98" s="87"/>
      <c r="AA98" s="87"/>
      <c r="AB98" s="87"/>
      <c r="AC98" s="27">
        <v>0</v>
      </c>
      <c r="AD98" s="26">
        <v>0</v>
      </c>
      <c r="AE98" s="26">
        <f>1220.99</f>
        <v>1220.99</v>
      </c>
      <c r="AF98" s="26">
        <f t="shared" si="39"/>
        <v>1220.99</v>
      </c>
      <c r="AG98" s="34">
        <v>0</v>
      </c>
      <c r="AH98" s="34">
        <v>0</v>
      </c>
      <c r="AI98" s="34">
        <f t="shared" si="42"/>
        <v>1220.99</v>
      </c>
    </row>
    <row r="99" spans="1:35" x14ac:dyDescent="0.25">
      <c r="A99" s="171" t="s">
        <v>140</v>
      </c>
      <c r="B99" s="162" t="s">
        <v>88</v>
      </c>
      <c r="C99" s="22">
        <v>1211.5</v>
      </c>
      <c r="D99" s="22">
        <v>1212</v>
      </c>
      <c r="E99" s="23">
        <v>0</v>
      </c>
      <c r="F99" s="23">
        <v>0</v>
      </c>
      <c r="G99" s="23">
        <f t="shared" si="43"/>
        <v>1212</v>
      </c>
      <c r="H99" s="24">
        <v>10</v>
      </c>
      <c r="I99" s="25">
        <v>0</v>
      </c>
      <c r="J99" s="25">
        <v>0</v>
      </c>
      <c r="K99" s="25">
        <f t="shared" si="40"/>
        <v>1222</v>
      </c>
      <c r="L99" s="24">
        <v>0</v>
      </c>
      <c r="M99" s="24">
        <v>0</v>
      </c>
      <c r="N99" s="25">
        <f t="shared" si="41"/>
        <v>1222</v>
      </c>
      <c r="O99" s="25">
        <v>1248</v>
      </c>
      <c r="P99" s="25">
        <v>0</v>
      </c>
      <c r="Q99" s="25">
        <v>0</v>
      </c>
      <c r="R99" s="31">
        <f t="shared" si="44"/>
        <v>1248</v>
      </c>
      <c r="S99" s="34">
        <v>0</v>
      </c>
      <c r="T99" s="35">
        <v>0</v>
      </c>
      <c r="U99" s="35">
        <f t="shared" si="48"/>
        <v>1248</v>
      </c>
      <c r="V99" s="34">
        <v>1565</v>
      </c>
      <c r="W99" s="34">
        <f>26</f>
        <v>26</v>
      </c>
      <c r="X99" s="35">
        <v>0</v>
      </c>
      <c r="Y99" s="34">
        <v>0</v>
      </c>
      <c r="Z99" s="87">
        <f t="shared" si="47"/>
        <v>1591</v>
      </c>
      <c r="AA99" s="87">
        <v>0</v>
      </c>
      <c r="AB99" s="87">
        <v>0</v>
      </c>
      <c r="AC99" s="27">
        <f t="shared" si="46"/>
        <v>1591</v>
      </c>
      <c r="AD99" s="26">
        <v>-83</v>
      </c>
      <c r="AE99" s="26">
        <v>0</v>
      </c>
      <c r="AF99" s="26">
        <f t="shared" si="39"/>
        <v>1508</v>
      </c>
      <c r="AG99" s="34">
        <v>0</v>
      </c>
      <c r="AH99" s="34">
        <v>0</v>
      </c>
      <c r="AI99" s="34">
        <f t="shared" si="42"/>
        <v>1508</v>
      </c>
    </row>
    <row r="100" spans="1:35" x14ac:dyDescent="0.25">
      <c r="A100" s="170" t="s">
        <v>141</v>
      </c>
      <c r="B100" s="162" t="s">
        <v>88</v>
      </c>
      <c r="C100" s="30">
        <v>2303</v>
      </c>
      <c r="D100" s="30">
        <v>2294</v>
      </c>
      <c r="E100" s="31">
        <v>0</v>
      </c>
      <c r="F100" s="31">
        <v>0</v>
      </c>
      <c r="G100" s="31">
        <f t="shared" si="43"/>
        <v>2294</v>
      </c>
      <c r="H100" s="32">
        <v>10</v>
      </c>
      <c r="I100" s="33">
        <v>0</v>
      </c>
      <c r="J100" s="33">
        <v>0</v>
      </c>
      <c r="K100" s="33">
        <f t="shared" si="40"/>
        <v>2304</v>
      </c>
      <c r="L100" s="32">
        <v>0</v>
      </c>
      <c r="M100" s="32">
        <v>0</v>
      </c>
      <c r="N100" s="33">
        <f t="shared" si="41"/>
        <v>2304</v>
      </c>
      <c r="O100" s="33">
        <v>2396</v>
      </c>
      <c r="P100" s="33">
        <v>0</v>
      </c>
      <c r="Q100" s="33">
        <v>0</v>
      </c>
      <c r="R100" s="31">
        <f t="shared" si="44"/>
        <v>2396</v>
      </c>
      <c r="S100" s="34">
        <v>0</v>
      </c>
      <c r="T100" s="35">
        <v>0</v>
      </c>
      <c r="U100" s="35">
        <f t="shared" si="48"/>
        <v>2396</v>
      </c>
      <c r="V100" s="34">
        <v>2915</v>
      </c>
      <c r="W100" s="34">
        <f>87</f>
        <v>87</v>
      </c>
      <c r="X100" s="35">
        <v>0</v>
      </c>
      <c r="Y100" s="34">
        <v>0</v>
      </c>
      <c r="Z100" s="87">
        <f t="shared" si="47"/>
        <v>3002</v>
      </c>
      <c r="AA100" s="87">
        <v>0</v>
      </c>
      <c r="AB100" s="87">
        <v>0</v>
      </c>
      <c r="AC100" s="27">
        <f t="shared" si="46"/>
        <v>3002</v>
      </c>
      <c r="AD100" s="26">
        <v>-68</v>
      </c>
      <c r="AE100" s="26">
        <v>0</v>
      </c>
      <c r="AF100" s="26">
        <f t="shared" si="39"/>
        <v>2934</v>
      </c>
      <c r="AG100" s="34">
        <f>40-17</f>
        <v>23</v>
      </c>
      <c r="AH100" s="34">
        <v>0</v>
      </c>
      <c r="AI100" s="34">
        <f t="shared" si="42"/>
        <v>2957</v>
      </c>
    </row>
    <row r="101" spans="1:35" x14ac:dyDescent="0.25">
      <c r="A101" s="170" t="s">
        <v>142</v>
      </c>
      <c r="B101" s="162" t="s">
        <v>88</v>
      </c>
      <c r="C101" s="30">
        <v>5146.5</v>
      </c>
      <c r="D101" s="30">
        <v>5158</v>
      </c>
      <c r="E101" s="31">
        <v>0</v>
      </c>
      <c r="F101" s="31">
        <v>23</v>
      </c>
      <c r="G101" s="31">
        <f t="shared" si="43"/>
        <v>5181</v>
      </c>
      <c r="H101" s="32">
        <v>10</v>
      </c>
      <c r="I101" s="33">
        <v>0</v>
      </c>
      <c r="J101" s="33">
        <v>0</v>
      </c>
      <c r="K101" s="33">
        <f t="shared" si="40"/>
        <v>5191</v>
      </c>
      <c r="L101" s="32">
        <v>0</v>
      </c>
      <c r="M101" s="32">
        <v>0</v>
      </c>
      <c r="N101" s="33">
        <f t="shared" si="41"/>
        <v>5191</v>
      </c>
      <c r="O101" s="33">
        <v>5689</v>
      </c>
      <c r="P101" s="33">
        <v>0</v>
      </c>
      <c r="Q101" s="33">
        <v>17</v>
      </c>
      <c r="R101" s="31">
        <f t="shared" si="44"/>
        <v>5706</v>
      </c>
      <c r="S101" s="34">
        <v>0</v>
      </c>
      <c r="T101" s="35">
        <v>0</v>
      </c>
      <c r="U101" s="35">
        <f t="shared" si="48"/>
        <v>5706</v>
      </c>
      <c r="V101" s="34">
        <v>6318</v>
      </c>
      <c r="W101" s="34">
        <f>252</f>
        <v>252</v>
      </c>
      <c r="X101" s="35">
        <v>0</v>
      </c>
      <c r="Y101" s="34">
        <v>0</v>
      </c>
      <c r="Z101" s="87">
        <f t="shared" si="47"/>
        <v>6570</v>
      </c>
      <c r="AA101" s="87">
        <v>0</v>
      </c>
      <c r="AB101" s="87">
        <v>0</v>
      </c>
      <c r="AC101" s="27">
        <f t="shared" si="46"/>
        <v>6570</v>
      </c>
      <c r="AD101" s="26">
        <v>-63</v>
      </c>
      <c r="AE101" s="26">
        <v>0</v>
      </c>
      <c r="AF101" s="26">
        <f t="shared" si="39"/>
        <v>6507</v>
      </c>
      <c r="AG101" s="34">
        <v>-104</v>
      </c>
      <c r="AH101" s="34">
        <v>0</v>
      </c>
      <c r="AI101" s="34">
        <f t="shared" si="42"/>
        <v>6403</v>
      </c>
    </row>
    <row r="102" spans="1:35" x14ac:dyDescent="0.25">
      <c r="A102" s="170" t="s">
        <v>143</v>
      </c>
      <c r="B102" s="162" t="s">
        <v>144</v>
      </c>
      <c r="C102" s="30"/>
      <c r="D102" s="30"/>
      <c r="E102" s="31"/>
      <c r="F102" s="31"/>
      <c r="G102" s="31"/>
      <c r="H102" s="32"/>
      <c r="I102" s="33"/>
      <c r="J102" s="33"/>
      <c r="K102" s="33"/>
      <c r="L102" s="32"/>
      <c r="M102" s="32"/>
      <c r="N102" s="33"/>
      <c r="O102" s="33"/>
      <c r="P102" s="33"/>
      <c r="Q102" s="33"/>
      <c r="R102" s="31"/>
      <c r="S102" s="34"/>
      <c r="T102" s="35"/>
      <c r="U102" s="35"/>
      <c r="V102" s="34">
        <v>0</v>
      </c>
      <c r="W102" s="34"/>
      <c r="X102" s="35"/>
      <c r="Y102" s="34"/>
      <c r="Z102" s="87"/>
      <c r="AA102" s="87"/>
      <c r="AB102" s="87"/>
      <c r="AC102" s="27">
        <v>0</v>
      </c>
      <c r="AD102" s="26">
        <v>0</v>
      </c>
      <c r="AE102" s="26">
        <f>1606.22</f>
        <v>1606.22</v>
      </c>
      <c r="AF102" s="26">
        <f>SUM(V102:AE102)</f>
        <v>1606.22</v>
      </c>
      <c r="AG102" s="34">
        <v>0</v>
      </c>
      <c r="AH102" s="34">
        <v>0</v>
      </c>
      <c r="AI102" s="34">
        <f t="shared" si="42"/>
        <v>1606.22</v>
      </c>
    </row>
    <row r="103" spans="1:35" x14ac:dyDescent="0.25">
      <c r="A103" s="172" t="s">
        <v>145</v>
      </c>
      <c r="B103" s="162" t="s">
        <v>117</v>
      </c>
      <c r="C103" s="30"/>
      <c r="D103" s="30"/>
      <c r="E103" s="31"/>
      <c r="F103" s="31"/>
      <c r="G103" s="31"/>
      <c r="H103" s="32"/>
      <c r="I103" s="33"/>
      <c r="J103" s="33"/>
      <c r="K103" s="33"/>
      <c r="L103" s="32"/>
      <c r="M103" s="32"/>
      <c r="N103" s="33"/>
      <c r="O103" s="33"/>
      <c r="P103" s="33"/>
      <c r="Q103" s="33"/>
      <c r="R103" s="31"/>
      <c r="S103" s="34"/>
      <c r="T103" s="35"/>
      <c r="U103" s="35"/>
      <c r="V103" s="34">
        <v>0</v>
      </c>
      <c r="W103" s="34"/>
      <c r="X103" s="35"/>
      <c r="Y103" s="34"/>
      <c r="Z103" s="87"/>
      <c r="AA103" s="87"/>
      <c r="AB103" s="87"/>
      <c r="AC103" s="27">
        <v>0</v>
      </c>
      <c r="AD103" s="26">
        <v>0</v>
      </c>
      <c r="AE103" s="26">
        <f>187.98</f>
        <v>187.98</v>
      </c>
      <c r="AF103" s="26">
        <f>SUM(V103:AE103)</f>
        <v>187.98</v>
      </c>
      <c r="AG103" s="34">
        <v>0</v>
      </c>
      <c r="AH103" s="34">
        <v>0</v>
      </c>
      <c r="AI103" s="34">
        <f t="shared" si="42"/>
        <v>187.98</v>
      </c>
    </row>
    <row r="104" spans="1:35" x14ac:dyDescent="0.25">
      <c r="A104" s="170" t="s">
        <v>146</v>
      </c>
      <c r="B104" s="162" t="s">
        <v>88</v>
      </c>
      <c r="C104" s="30">
        <v>2683</v>
      </c>
      <c r="D104" s="30">
        <v>2683</v>
      </c>
      <c r="E104" s="31">
        <v>0</v>
      </c>
      <c r="F104" s="31">
        <v>0</v>
      </c>
      <c r="G104" s="31">
        <f t="shared" si="43"/>
        <v>2683</v>
      </c>
      <c r="H104" s="32">
        <v>10</v>
      </c>
      <c r="I104" s="33">
        <v>0</v>
      </c>
      <c r="J104" s="33">
        <v>0</v>
      </c>
      <c r="K104" s="33">
        <f t="shared" si="40"/>
        <v>2693</v>
      </c>
      <c r="L104" s="32">
        <v>0</v>
      </c>
      <c r="M104" s="32">
        <v>0</v>
      </c>
      <c r="N104" s="33">
        <f t="shared" si="41"/>
        <v>2693</v>
      </c>
      <c r="O104" s="33">
        <v>2981</v>
      </c>
      <c r="P104" s="33">
        <v>0</v>
      </c>
      <c r="Q104" s="33">
        <v>0</v>
      </c>
      <c r="R104" s="31">
        <f t="shared" si="44"/>
        <v>2981</v>
      </c>
      <c r="S104" s="34">
        <v>0</v>
      </c>
      <c r="T104" s="35">
        <v>0</v>
      </c>
      <c r="U104" s="33">
        <f>SUM(R104:T104)</f>
        <v>2981</v>
      </c>
      <c r="V104" s="34">
        <v>4394</v>
      </c>
      <c r="W104" s="34">
        <f>118</f>
        <v>118</v>
      </c>
      <c r="X104" s="35">
        <v>0</v>
      </c>
      <c r="Y104" s="34">
        <v>0</v>
      </c>
      <c r="Z104" s="87">
        <f t="shared" si="47"/>
        <v>4512</v>
      </c>
      <c r="AA104" s="87">
        <v>0</v>
      </c>
      <c r="AB104" s="87">
        <v>0</v>
      </c>
      <c r="AC104" s="27">
        <f t="shared" si="46"/>
        <v>4512</v>
      </c>
      <c r="AD104" s="26">
        <v>-26.45</v>
      </c>
      <c r="AE104" s="26">
        <v>0</v>
      </c>
      <c r="AF104" s="26">
        <f t="shared" si="39"/>
        <v>4485.55</v>
      </c>
      <c r="AG104" s="34">
        <f>400-25-41</f>
        <v>334</v>
      </c>
      <c r="AH104" s="34">
        <v>0</v>
      </c>
      <c r="AI104" s="34">
        <f t="shared" si="42"/>
        <v>4819.55</v>
      </c>
    </row>
    <row r="105" spans="1:35" x14ac:dyDescent="0.25">
      <c r="A105" s="170" t="s">
        <v>147</v>
      </c>
      <c r="B105" s="162" t="s">
        <v>88</v>
      </c>
      <c r="C105" s="30">
        <v>3550</v>
      </c>
      <c r="D105" s="30">
        <v>3509</v>
      </c>
      <c r="E105" s="31">
        <v>0</v>
      </c>
      <c r="F105" s="31">
        <v>0</v>
      </c>
      <c r="G105" s="31">
        <f t="shared" si="43"/>
        <v>3509</v>
      </c>
      <c r="H105" s="32">
        <v>10</v>
      </c>
      <c r="I105" s="33">
        <v>0</v>
      </c>
      <c r="J105" s="33">
        <v>0</v>
      </c>
      <c r="K105" s="33">
        <f t="shared" si="40"/>
        <v>3519</v>
      </c>
      <c r="L105" s="32">
        <v>0</v>
      </c>
      <c r="M105" s="32">
        <v>0</v>
      </c>
      <c r="N105" s="33">
        <f t="shared" si="41"/>
        <v>3519</v>
      </c>
      <c r="O105" s="33">
        <v>3795</v>
      </c>
      <c r="P105" s="33">
        <v>0</v>
      </c>
      <c r="Q105" s="33">
        <v>0</v>
      </c>
      <c r="R105" s="31">
        <f t="shared" si="44"/>
        <v>3795</v>
      </c>
      <c r="S105" s="34">
        <v>0</v>
      </c>
      <c r="T105" s="35">
        <v>0</v>
      </c>
      <c r="U105" s="33">
        <f>SUM(R105:T105)</f>
        <v>3795</v>
      </c>
      <c r="V105" s="34">
        <v>5388</v>
      </c>
      <c r="W105" s="34">
        <f>105</f>
        <v>105</v>
      </c>
      <c r="X105" s="35">
        <v>0</v>
      </c>
      <c r="Y105" s="34">
        <v>0</v>
      </c>
      <c r="Z105" s="87">
        <f t="shared" si="47"/>
        <v>5493</v>
      </c>
      <c r="AA105" s="87">
        <v>0</v>
      </c>
      <c r="AB105" s="87">
        <v>0</v>
      </c>
      <c r="AC105" s="27">
        <f t="shared" si="46"/>
        <v>5493</v>
      </c>
      <c r="AD105" s="26">
        <v>-220</v>
      </c>
      <c r="AE105" s="26">
        <v>0</v>
      </c>
      <c r="AF105" s="26">
        <f t="shared" si="39"/>
        <v>5273</v>
      </c>
      <c r="AG105" s="34">
        <f>-19-20</f>
        <v>-39</v>
      </c>
      <c r="AH105" s="34">
        <v>0</v>
      </c>
      <c r="AI105" s="34">
        <f t="shared" si="42"/>
        <v>5234</v>
      </c>
    </row>
    <row r="106" spans="1:35" x14ac:dyDescent="0.25">
      <c r="A106" s="170" t="s">
        <v>148</v>
      </c>
      <c r="B106" s="162" t="s">
        <v>88</v>
      </c>
      <c r="C106" s="30">
        <v>3539</v>
      </c>
      <c r="D106" s="30">
        <v>3539</v>
      </c>
      <c r="E106" s="31">
        <v>0</v>
      </c>
      <c r="F106" s="31">
        <v>0</v>
      </c>
      <c r="G106" s="31">
        <f t="shared" si="43"/>
        <v>3539</v>
      </c>
      <c r="H106" s="32">
        <v>10</v>
      </c>
      <c r="I106" s="33">
        <v>0</v>
      </c>
      <c r="J106" s="33">
        <v>0</v>
      </c>
      <c r="K106" s="33">
        <f t="shared" si="40"/>
        <v>3549</v>
      </c>
      <c r="L106" s="32">
        <v>0</v>
      </c>
      <c r="M106" s="32">
        <v>0</v>
      </c>
      <c r="N106" s="33">
        <f t="shared" si="41"/>
        <v>3549</v>
      </c>
      <c r="O106" s="33">
        <v>3849</v>
      </c>
      <c r="P106" s="33">
        <v>0</v>
      </c>
      <c r="Q106" s="33">
        <v>0</v>
      </c>
      <c r="R106" s="31">
        <f t="shared" si="44"/>
        <v>3849</v>
      </c>
      <c r="S106" s="34">
        <v>0</v>
      </c>
      <c r="T106" s="35">
        <v>0</v>
      </c>
      <c r="U106" s="33">
        <f>SUM(R106:T106)</f>
        <v>3849</v>
      </c>
      <c r="V106" s="34">
        <v>4234</v>
      </c>
      <c r="W106" s="34">
        <f>170</f>
        <v>170</v>
      </c>
      <c r="X106" s="35">
        <v>0</v>
      </c>
      <c r="Y106" s="34">
        <v>0</v>
      </c>
      <c r="Z106" s="87">
        <f t="shared" si="47"/>
        <v>4404</v>
      </c>
      <c r="AA106" s="87">
        <v>0</v>
      </c>
      <c r="AB106" s="87">
        <v>0</v>
      </c>
      <c r="AC106" s="27">
        <f t="shared" si="46"/>
        <v>4404</v>
      </c>
      <c r="AD106" s="26">
        <v>-110</v>
      </c>
      <c r="AE106" s="26">
        <v>0</v>
      </c>
      <c r="AF106" s="26">
        <f t="shared" si="39"/>
        <v>4294</v>
      </c>
      <c r="AG106" s="34">
        <f>-77+104</f>
        <v>27</v>
      </c>
      <c r="AH106" s="34">
        <v>0</v>
      </c>
      <c r="AI106" s="34">
        <f t="shared" si="42"/>
        <v>4321</v>
      </c>
    </row>
    <row r="107" spans="1:35" x14ac:dyDescent="0.25">
      <c r="A107" s="170" t="s">
        <v>149</v>
      </c>
      <c r="B107" s="162" t="s">
        <v>150</v>
      </c>
      <c r="C107" s="30"/>
      <c r="D107" s="30"/>
      <c r="E107" s="31"/>
      <c r="F107" s="31"/>
      <c r="G107" s="31"/>
      <c r="H107" s="32"/>
      <c r="I107" s="33"/>
      <c r="J107" s="33"/>
      <c r="K107" s="33"/>
      <c r="L107" s="32"/>
      <c r="M107" s="32"/>
      <c r="N107" s="33"/>
      <c r="O107" s="33"/>
      <c r="P107" s="33"/>
      <c r="Q107" s="33"/>
      <c r="R107" s="31"/>
      <c r="S107" s="34"/>
      <c r="T107" s="35"/>
      <c r="U107" s="33"/>
      <c r="V107" s="34">
        <v>0</v>
      </c>
      <c r="W107" s="34"/>
      <c r="X107" s="35"/>
      <c r="Y107" s="34"/>
      <c r="Z107" s="87"/>
      <c r="AA107" s="87"/>
      <c r="AB107" s="87"/>
      <c r="AC107" s="27">
        <v>0</v>
      </c>
      <c r="AD107" s="26">
        <v>0</v>
      </c>
      <c r="AE107" s="26">
        <f>1279.47</f>
        <v>1279.47</v>
      </c>
      <c r="AF107" s="26">
        <f>SUM(V107:AE107)</f>
        <v>1279.47</v>
      </c>
      <c r="AG107" s="34">
        <v>0</v>
      </c>
      <c r="AH107" s="34">
        <v>0</v>
      </c>
      <c r="AI107" s="34">
        <f t="shared" si="42"/>
        <v>1279.47</v>
      </c>
    </row>
    <row r="108" spans="1:35" x14ac:dyDescent="0.25">
      <c r="A108" s="170" t="s">
        <v>151</v>
      </c>
      <c r="B108" s="162" t="s">
        <v>88</v>
      </c>
      <c r="C108" s="30">
        <v>1475</v>
      </c>
      <c r="D108" s="30">
        <v>1475</v>
      </c>
      <c r="E108" s="31">
        <v>0</v>
      </c>
      <c r="F108" s="31">
        <v>0</v>
      </c>
      <c r="G108" s="31">
        <f t="shared" si="43"/>
        <v>1475</v>
      </c>
      <c r="H108" s="32">
        <v>10</v>
      </c>
      <c r="I108" s="33">
        <v>0</v>
      </c>
      <c r="J108" s="33">
        <v>0</v>
      </c>
      <c r="K108" s="33">
        <f t="shared" si="40"/>
        <v>1485</v>
      </c>
      <c r="L108" s="32">
        <v>0</v>
      </c>
      <c r="M108" s="32">
        <v>0</v>
      </c>
      <c r="N108" s="33">
        <f t="shared" si="41"/>
        <v>1485</v>
      </c>
      <c r="O108" s="33">
        <v>1657</v>
      </c>
      <c r="P108" s="33">
        <v>0</v>
      </c>
      <c r="Q108" s="33">
        <v>0</v>
      </c>
      <c r="R108" s="31">
        <f t="shared" si="44"/>
        <v>1657</v>
      </c>
      <c r="S108" s="34">
        <v>0</v>
      </c>
      <c r="T108" s="35">
        <v>0</v>
      </c>
      <c r="U108" s="33">
        <f>SUM(R108:T108)</f>
        <v>1657</v>
      </c>
      <c r="V108" s="34">
        <v>1809</v>
      </c>
      <c r="W108" s="34">
        <f>32</f>
        <v>32</v>
      </c>
      <c r="X108" s="35">
        <v>0</v>
      </c>
      <c r="Y108" s="34">
        <v>0</v>
      </c>
      <c r="Z108" s="87">
        <f t="shared" si="47"/>
        <v>1841</v>
      </c>
      <c r="AA108" s="87">
        <v>0</v>
      </c>
      <c r="AB108" s="87">
        <v>0</v>
      </c>
      <c r="AC108" s="27">
        <f t="shared" si="46"/>
        <v>1841</v>
      </c>
      <c r="AD108" s="26">
        <v>-48</v>
      </c>
      <c r="AE108" s="26">
        <v>0</v>
      </c>
      <c r="AF108" s="26">
        <f t="shared" si="39"/>
        <v>1793</v>
      </c>
      <c r="AG108" s="34">
        <f>261-19</f>
        <v>242</v>
      </c>
      <c r="AH108" s="34">
        <v>0</v>
      </c>
      <c r="AI108" s="34">
        <f t="shared" si="42"/>
        <v>2035</v>
      </c>
    </row>
    <row r="109" spans="1:35" x14ac:dyDescent="0.25">
      <c r="A109" s="170" t="s">
        <v>152</v>
      </c>
      <c r="B109" s="162" t="s">
        <v>153</v>
      </c>
      <c r="C109" s="30"/>
      <c r="D109" s="30"/>
      <c r="E109" s="31"/>
      <c r="F109" s="31"/>
      <c r="G109" s="31"/>
      <c r="H109" s="32"/>
      <c r="I109" s="33"/>
      <c r="J109" s="33"/>
      <c r="K109" s="33"/>
      <c r="L109" s="32"/>
      <c r="M109" s="32"/>
      <c r="N109" s="33"/>
      <c r="O109" s="33"/>
      <c r="P109" s="33"/>
      <c r="Q109" s="33"/>
      <c r="R109" s="31"/>
      <c r="S109" s="34"/>
      <c r="T109" s="35"/>
      <c r="U109" s="33"/>
      <c r="V109" s="34">
        <v>0</v>
      </c>
      <c r="W109" s="34"/>
      <c r="X109" s="35"/>
      <c r="Y109" s="34"/>
      <c r="Z109" s="87"/>
      <c r="AA109" s="87"/>
      <c r="AB109" s="87"/>
      <c r="AC109" s="27"/>
      <c r="AD109" s="26"/>
      <c r="AE109" s="26"/>
      <c r="AF109" s="26">
        <f>535.36</f>
        <v>535.36</v>
      </c>
      <c r="AG109" s="34">
        <v>0</v>
      </c>
      <c r="AH109" s="34">
        <v>0</v>
      </c>
      <c r="AI109" s="34">
        <f t="shared" si="42"/>
        <v>535.36</v>
      </c>
    </row>
    <row r="110" spans="1:35" ht="15.75" customHeight="1" x14ac:dyDescent="0.25">
      <c r="A110" s="170" t="s">
        <v>154</v>
      </c>
      <c r="B110" s="162" t="s">
        <v>88</v>
      </c>
      <c r="C110" s="30">
        <v>621</v>
      </c>
      <c r="D110" s="30">
        <v>621</v>
      </c>
      <c r="E110" s="31">
        <v>0</v>
      </c>
      <c r="F110" s="31">
        <v>0</v>
      </c>
      <c r="G110" s="31">
        <f t="shared" si="43"/>
        <v>621</v>
      </c>
      <c r="H110" s="32">
        <v>10</v>
      </c>
      <c r="I110" s="33">
        <v>0</v>
      </c>
      <c r="J110" s="33">
        <v>0</v>
      </c>
      <c r="K110" s="33">
        <f t="shared" si="40"/>
        <v>631</v>
      </c>
      <c r="L110" s="32">
        <v>0</v>
      </c>
      <c r="M110" s="32">
        <v>0</v>
      </c>
      <c r="N110" s="33">
        <f t="shared" si="41"/>
        <v>631</v>
      </c>
      <c r="O110" s="33">
        <v>862</v>
      </c>
      <c r="P110" s="33">
        <v>0</v>
      </c>
      <c r="Q110" s="33">
        <v>6</v>
      </c>
      <c r="R110" s="31">
        <f t="shared" si="44"/>
        <v>868</v>
      </c>
      <c r="S110" s="34">
        <v>0</v>
      </c>
      <c r="T110" s="35">
        <v>0</v>
      </c>
      <c r="U110" s="33">
        <f>SUM(R110:T110)</f>
        <v>868</v>
      </c>
      <c r="V110" s="34">
        <v>925</v>
      </c>
      <c r="W110" s="34">
        <f>16</f>
        <v>16</v>
      </c>
      <c r="X110" s="35">
        <v>0</v>
      </c>
      <c r="Y110" s="34">
        <v>0</v>
      </c>
      <c r="Z110" s="87">
        <f t="shared" si="47"/>
        <v>941</v>
      </c>
      <c r="AA110" s="87">
        <v>0</v>
      </c>
      <c r="AB110" s="87">
        <v>0</v>
      </c>
      <c r="AC110" s="27">
        <f t="shared" si="46"/>
        <v>941</v>
      </c>
      <c r="AD110" s="26">
        <v>-40</v>
      </c>
      <c r="AE110" s="26">
        <v>0</v>
      </c>
      <c r="AF110" s="26">
        <f t="shared" si="39"/>
        <v>901</v>
      </c>
      <c r="AG110" s="34">
        <f>120</f>
        <v>120</v>
      </c>
      <c r="AH110" s="34">
        <v>0</v>
      </c>
      <c r="AI110" s="34">
        <f t="shared" si="42"/>
        <v>1021</v>
      </c>
    </row>
    <row r="111" spans="1:35" ht="15.75" customHeight="1" x14ac:dyDescent="0.25">
      <c r="A111" s="170" t="s">
        <v>155</v>
      </c>
      <c r="B111" s="162" t="s">
        <v>153</v>
      </c>
      <c r="C111" s="30"/>
      <c r="D111" s="30"/>
      <c r="E111" s="31"/>
      <c r="F111" s="31"/>
      <c r="G111" s="31"/>
      <c r="H111" s="32"/>
      <c r="I111" s="33"/>
      <c r="J111" s="33"/>
      <c r="K111" s="33"/>
      <c r="L111" s="32"/>
      <c r="M111" s="32"/>
      <c r="N111" s="33"/>
      <c r="O111" s="33"/>
      <c r="P111" s="33"/>
      <c r="Q111" s="33"/>
      <c r="R111" s="31"/>
      <c r="S111" s="34"/>
      <c r="T111" s="35"/>
      <c r="U111" s="33"/>
      <c r="V111" s="34">
        <v>0</v>
      </c>
      <c r="W111" s="34"/>
      <c r="X111" s="35"/>
      <c r="Y111" s="34"/>
      <c r="Z111" s="87"/>
      <c r="AA111" s="87"/>
      <c r="AB111" s="87"/>
      <c r="AC111" s="27"/>
      <c r="AD111" s="26"/>
      <c r="AE111" s="26"/>
      <c r="AF111" s="26">
        <f>532.02</f>
        <v>532.02</v>
      </c>
      <c r="AG111" s="34">
        <v>0</v>
      </c>
      <c r="AH111" s="34">
        <v>0</v>
      </c>
      <c r="AI111" s="34">
        <f t="shared" si="42"/>
        <v>532.02</v>
      </c>
    </row>
    <row r="112" spans="1:35" x14ac:dyDescent="0.25">
      <c r="A112" s="170" t="s">
        <v>156</v>
      </c>
      <c r="B112" s="162" t="s">
        <v>88</v>
      </c>
      <c r="C112" s="30">
        <v>4672.5</v>
      </c>
      <c r="D112" s="30">
        <v>4691</v>
      </c>
      <c r="E112" s="31">
        <v>0</v>
      </c>
      <c r="F112" s="31">
        <v>7</v>
      </c>
      <c r="G112" s="31">
        <f t="shared" si="43"/>
        <v>4698</v>
      </c>
      <c r="H112" s="32">
        <v>10</v>
      </c>
      <c r="I112" s="33">
        <v>0</v>
      </c>
      <c r="J112" s="33">
        <v>0</v>
      </c>
      <c r="K112" s="33">
        <f t="shared" si="40"/>
        <v>4708</v>
      </c>
      <c r="L112" s="32">
        <v>0</v>
      </c>
      <c r="M112" s="32">
        <v>0</v>
      </c>
      <c r="N112" s="33">
        <f t="shared" si="41"/>
        <v>4708</v>
      </c>
      <c r="O112" s="33">
        <v>5126</v>
      </c>
      <c r="P112" s="33">
        <v>0</v>
      </c>
      <c r="Q112" s="33">
        <v>6</v>
      </c>
      <c r="R112" s="31">
        <f t="shared" si="44"/>
        <v>5132</v>
      </c>
      <c r="S112" s="34">
        <v>0</v>
      </c>
      <c r="T112" s="35">
        <v>0</v>
      </c>
      <c r="U112" s="35">
        <f t="shared" ref="U112:U132" si="49">SUM(R112:T112)</f>
        <v>5132</v>
      </c>
      <c r="V112" s="34">
        <v>5197</v>
      </c>
      <c r="W112" s="34">
        <f>206</f>
        <v>206</v>
      </c>
      <c r="X112" s="35">
        <v>0</v>
      </c>
      <c r="Y112" s="34">
        <v>0</v>
      </c>
      <c r="Z112" s="87">
        <f t="shared" si="47"/>
        <v>5403</v>
      </c>
      <c r="AA112" s="87">
        <v>0</v>
      </c>
      <c r="AB112" s="87">
        <v>0</v>
      </c>
      <c r="AC112" s="27">
        <f t="shared" si="46"/>
        <v>5403</v>
      </c>
      <c r="AD112" s="26">
        <v>-290</v>
      </c>
      <c r="AE112" s="26">
        <v>0</v>
      </c>
      <c r="AF112" s="26">
        <f t="shared" si="39"/>
        <v>5113</v>
      </c>
      <c r="AG112" s="34">
        <f>20-88</f>
        <v>-68</v>
      </c>
      <c r="AH112" s="34">
        <v>0</v>
      </c>
      <c r="AI112" s="34">
        <f t="shared" si="42"/>
        <v>5045</v>
      </c>
    </row>
    <row r="113" spans="1:35" x14ac:dyDescent="0.25">
      <c r="A113" s="174" t="s">
        <v>157</v>
      </c>
      <c r="B113" s="162" t="s">
        <v>117</v>
      </c>
      <c r="C113" s="22"/>
      <c r="D113" s="22"/>
      <c r="E113" s="23"/>
      <c r="F113" s="23"/>
      <c r="G113" s="31"/>
      <c r="H113" s="32"/>
      <c r="I113" s="33"/>
      <c r="J113" s="33"/>
      <c r="K113" s="33"/>
      <c r="L113" s="32"/>
      <c r="M113" s="32"/>
      <c r="N113" s="33"/>
      <c r="O113" s="33"/>
      <c r="P113" s="33"/>
      <c r="Q113" s="33"/>
      <c r="R113" s="31"/>
      <c r="S113" s="34"/>
      <c r="T113" s="35"/>
      <c r="U113" s="35"/>
      <c r="V113" s="34">
        <v>0</v>
      </c>
      <c r="W113" s="34"/>
      <c r="X113" s="35"/>
      <c r="Y113" s="34"/>
      <c r="Z113" s="87"/>
      <c r="AA113" s="87"/>
      <c r="AB113" s="87"/>
      <c r="AC113" s="27">
        <v>0</v>
      </c>
      <c r="AD113" s="26">
        <v>0</v>
      </c>
      <c r="AE113" s="26">
        <f>57.84</f>
        <v>57.84</v>
      </c>
      <c r="AF113" s="26">
        <f>SUM(AC113:AE113)</f>
        <v>57.84</v>
      </c>
      <c r="AG113" s="34">
        <v>0</v>
      </c>
      <c r="AH113" s="34">
        <v>0</v>
      </c>
      <c r="AI113" s="34">
        <f t="shared" si="42"/>
        <v>57.84</v>
      </c>
    </row>
    <row r="114" spans="1:35" x14ac:dyDescent="0.25">
      <c r="A114" s="173" t="s">
        <v>158</v>
      </c>
      <c r="B114" s="175" t="s">
        <v>159</v>
      </c>
      <c r="C114" s="22"/>
      <c r="D114" s="22"/>
      <c r="E114" s="23"/>
      <c r="F114" s="23"/>
      <c r="G114" s="31"/>
      <c r="H114" s="32"/>
      <c r="I114" s="33"/>
      <c r="J114" s="33"/>
      <c r="K114" s="33"/>
      <c r="L114" s="32"/>
      <c r="M114" s="32"/>
      <c r="N114" s="33"/>
      <c r="O114" s="33"/>
      <c r="P114" s="33"/>
      <c r="Q114" s="33"/>
      <c r="R114" s="31"/>
      <c r="S114" s="34"/>
      <c r="T114" s="35"/>
      <c r="U114" s="35"/>
      <c r="V114" s="34">
        <v>0</v>
      </c>
      <c r="W114" s="34"/>
      <c r="X114" s="35"/>
      <c r="Y114" s="34"/>
      <c r="Z114" s="87"/>
      <c r="AA114" s="87"/>
      <c r="AB114" s="87"/>
      <c r="AC114" s="27"/>
      <c r="AD114" s="26"/>
      <c r="AE114" s="26"/>
      <c r="AF114" s="26">
        <v>0</v>
      </c>
      <c r="AG114" s="34">
        <v>0</v>
      </c>
      <c r="AH114" s="34">
        <f>45.4</f>
        <v>45.4</v>
      </c>
      <c r="AI114" s="34">
        <f>SUM(AF114:AH114)</f>
        <v>45.4</v>
      </c>
    </row>
    <row r="115" spans="1:35" x14ac:dyDescent="0.25">
      <c r="A115" s="171" t="s">
        <v>160</v>
      </c>
      <c r="B115" s="162" t="s">
        <v>88</v>
      </c>
      <c r="C115" s="22">
        <v>849</v>
      </c>
      <c r="D115" s="22">
        <v>853</v>
      </c>
      <c r="E115" s="23">
        <v>0</v>
      </c>
      <c r="F115" s="23">
        <v>8</v>
      </c>
      <c r="G115" s="31">
        <f t="shared" si="43"/>
        <v>861</v>
      </c>
      <c r="H115" s="32">
        <v>10</v>
      </c>
      <c r="I115" s="33">
        <v>0</v>
      </c>
      <c r="J115" s="33">
        <v>0</v>
      </c>
      <c r="K115" s="33">
        <f t="shared" si="40"/>
        <v>871</v>
      </c>
      <c r="L115" s="32">
        <v>0</v>
      </c>
      <c r="M115" s="32">
        <v>0</v>
      </c>
      <c r="N115" s="33">
        <f t="shared" si="41"/>
        <v>871</v>
      </c>
      <c r="O115" s="33">
        <v>1161</v>
      </c>
      <c r="P115" s="33">
        <v>0</v>
      </c>
      <c r="Q115" s="33">
        <v>10</v>
      </c>
      <c r="R115" s="31">
        <f t="shared" si="44"/>
        <v>1171</v>
      </c>
      <c r="S115" s="34">
        <v>0</v>
      </c>
      <c r="T115" s="35">
        <v>0</v>
      </c>
      <c r="U115" s="35">
        <f t="shared" si="49"/>
        <v>1171</v>
      </c>
      <c r="V115" s="34">
        <v>1278</v>
      </c>
      <c r="W115" s="34">
        <f>28</f>
        <v>28</v>
      </c>
      <c r="X115" s="35">
        <v>0</v>
      </c>
      <c r="Y115" s="34">
        <v>0</v>
      </c>
      <c r="Z115" s="87">
        <f t="shared" si="47"/>
        <v>1306</v>
      </c>
      <c r="AA115" s="87">
        <v>0</v>
      </c>
      <c r="AB115" s="87">
        <v>0</v>
      </c>
      <c r="AC115" s="27">
        <f t="shared" si="46"/>
        <v>1306</v>
      </c>
      <c r="AD115" s="26">
        <v>-41</v>
      </c>
      <c r="AE115" s="26">
        <v>0</v>
      </c>
      <c r="AF115" s="26">
        <f t="shared" si="39"/>
        <v>1265</v>
      </c>
      <c r="AG115" s="34">
        <f>70</f>
        <v>70</v>
      </c>
      <c r="AH115" s="34">
        <v>0</v>
      </c>
      <c r="AI115" s="34">
        <f>SUM(AF115:AH115)</f>
        <v>1335</v>
      </c>
    </row>
    <row r="116" spans="1:35" x14ac:dyDescent="0.25">
      <c r="A116" s="170" t="s">
        <v>161</v>
      </c>
      <c r="B116" s="162" t="s">
        <v>88</v>
      </c>
      <c r="C116" s="30">
        <v>956</v>
      </c>
      <c r="D116" s="30">
        <v>956</v>
      </c>
      <c r="E116" s="31">
        <v>0</v>
      </c>
      <c r="F116" s="31">
        <v>0</v>
      </c>
      <c r="G116" s="31">
        <f t="shared" si="43"/>
        <v>956</v>
      </c>
      <c r="H116" s="32">
        <v>10</v>
      </c>
      <c r="I116" s="33">
        <v>0</v>
      </c>
      <c r="J116" s="33">
        <v>0</v>
      </c>
      <c r="K116" s="33">
        <f t="shared" si="40"/>
        <v>966</v>
      </c>
      <c r="L116" s="32">
        <v>0</v>
      </c>
      <c r="M116" s="32">
        <v>0</v>
      </c>
      <c r="N116" s="33">
        <f t="shared" si="41"/>
        <v>966</v>
      </c>
      <c r="O116" s="33">
        <v>1090</v>
      </c>
      <c r="P116" s="33">
        <v>0</v>
      </c>
      <c r="Q116" s="33">
        <v>0</v>
      </c>
      <c r="R116" s="31">
        <f t="shared" si="44"/>
        <v>1090</v>
      </c>
      <c r="S116" s="34">
        <v>0</v>
      </c>
      <c r="T116" s="35">
        <v>0</v>
      </c>
      <c r="U116" s="35">
        <f t="shared" si="49"/>
        <v>1090</v>
      </c>
      <c r="V116" s="34">
        <v>1460</v>
      </c>
      <c r="W116" s="34">
        <f>250</f>
        <v>250</v>
      </c>
      <c r="X116" s="35">
        <v>0</v>
      </c>
      <c r="Y116" s="34">
        <v>0</v>
      </c>
      <c r="Z116" s="87">
        <f t="shared" si="47"/>
        <v>1710</v>
      </c>
      <c r="AA116" s="87">
        <f>-250</f>
        <v>-250</v>
      </c>
      <c r="AB116" s="87">
        <v>0</v>
      </c>
      <c r="AC116" s="27">
        <f t="shared" si="46"/>
        <v>1460</v>
      </c>
      <c r="AD116" s="26">
        <v>-109</v>
      </c>
      <c r="AE116" s="26">
        <v>0</v>
      </c>
      <c r="AF116" s="26">
        <f t="shared" si="39"/>
        <v>1351</v>
      </c>
      <c r="AG116" s="34">
        <f>-150.9</f>
        <v>-150.9</v>
      </c>
      <c r="AH116" s="34">
        <v>0</v>
      </c>
      <c r="AI116" s="34">
        <f>SUM(AF116:AH116)</f>
        <v>1200.0999999999999</v>
      </c>
    </row>
    <row r="117" spans="1:35" x14ac:dyDescent="0.25">
      <c r="A117" s="171" t="s">
        <v>162</v>
      </c>
      <c r="B117" s="162" t="s">
        <v>88</v>
      </c>
      <c r="C117" s="22"/>
      <c r="D117" s="22"/>
      <c r="E117" s="23"/>
      <c r="F117" s="23"/>
      <c r="G117" s="23"/>
      <c r="H117" s="24"/>
      <c r="I117" s="25"/>
      <c r="J117" s="25"/>
      <c r="K117" s="25"/>
      <c r="L117" s="24"/>
      <c r="M117" s="24"/>
      <c r="N117" s="25"/>
      <c r="O117" s="25"/>
      <c r="P117" s="25"/>
      <c r="Q117" s="25"/>
      <c r="R117" s="31"/>
      <c r="S117" s="34"/>
      <c r="T117" s="35"/>
      <c r="U117" s="35"/>
      <c r="V117" s="34">
        <v>0</v>
      </c>
      <c r="W117" s="34">
        <v>0</v>
      </c>
      <c r="X117" s="35">
        <v>0</v>
      </c>
      <c r="Y117" s="34">
        <f>146</f>
        <v>146</v>
      </c>
      <c r="Z117" s="87">
        <f>SUM(V117:Y117)</f>
        <v>146</v>
      </c>
      <c r="AA117" s="87">
        <v>0</v>
      </c>
      <c r="AB117" s="87">
        <f>-99.8</f>
        <v>-99.8</v>
      </c>
      <c r="AC117" s="27">
        <f t="shared" si="46"/>
        <v>46.2</v>
      </c>
      <c r="AD117" s="26">
        <v>0</v>
      </c>
      <c r="AE117" s="26">
        <v>0</v>
      </c>
      <c r="AF117" s="26">
        <f t="shared" si="39"/>
        <v>46.2</v>
      </c>
      <c r="AG117" s="34">
        <v>0</v>
      </c>
      <c r="AH117" s="34">
        <v>0</v>
      </c>
      <c r="AI117" s="34">
        <f t="shared" si="42"/>
        <v>46.2</v>
      </c>
    </row>
    <row r="118" spans="1:35" x14ac:dyDescent="0.25">
      <c r="A118" s="171" t="s">
        <v>163</v>
      </c>
      <c r="B118" s="162" t="s">
        <v>88</v>
      </c>
      <c r="C118" s="22"/>
      <c r="D118" s="22"/>
      <c r="E118" s="23"/>
      <c r="F118" s="23"/>
      <c r="G118" s="23"/>
      <c r="H118" s="24"/>
      <c r="I118" s="25"/>
      <c r="J118" s="25"/>
      <c r="K118" s="25"/>
      <c r="L118" s="24"/>
      <c r="M118" s="24"/>
      <c r="N118" s="25"/>
      <c r="O118" s="25"/>
      <c r="P118" s="25"/>
      <c r="Q118" s="25"/>
      <c r="R118" s="31"/>
      <c r="S118" s="34"/>
      <c r="T118" s="35"/>
      <c r="U118" s="35"/>
      <c r="V118" s="34">
        <v>0</v>
      </c>
      <c r="W118" s="34"/>
      <c r="X118" s="35"/>
      <c r="Y118" s="34"/>
      <c r="Z118" s="87">
        <v>0</v>
      </c>
      <c r="AA118" s="87">
        <v>0</v>
      </c>
      <c r="AB118" s="87">
        <f>40</f>
        <v>40</v>
      </c>
      <c r="AC118" s="27">
        <f>Z118+AA118+AB118</f>
        <v>40</v>
      </c>
      <c r="AD118" s="26">
        <v>0</v>
      </c>
      <c r="AE118" s="26">
        <v>0</v>
      </c>
      <c r="AF118" s="26">
        <f t="shared" si="39"/>
        <v>40</v>
      </c>
      <c r="AG118" s="34">
        <v>0</v>
      </c>
      <c r="AH118" s="34">
        <v>0</v>
      </c>
      <c r="AI118" s="34">
        <f t="shared" si="42"/>
        <v>40</v>
      </c>
    </row>
    <row r="119" spans="1:35" x14ac:dyDescent="0.25">
      <c r="A119" s="171" t="s">
        <v>164</v>
      </c>
      <c r="B119" s="162" t="s">
        <v>88</v>
      </c>
      <c r="C119" s="22">
        <v>13241</v>
      </c>
      <c r="D119" s="22">
        <v>14102</v>
      </c>
      <c r="E119" s="23">
        <v>0</v>
      </c>
      <c r="F119" s="23">
        <v>840</v>
      </c>
      <c r="G119" s="23">
        <f t="shared" si="43"/>
        <v>14942</v>
      </c>
      <c r="H119" s="24">
        <v>10</v>
      </c>
      <c r="I119" s="25">
        <v>0</v>
      </c>
      <c r="J119" s="25">
        <v>0</v>
      </c>
      <c r="K119" s="25">
        <f t="shared" si="40"/>
        <v>14952</v>
      </c>
      <c r="L119" s="24">
        <v>0</v>
      </c>
      <c r="M119" s="24">
        <v>0</v>
      </c>
      <c r="N119" s="25">
        <f t="shared" si="41"/>
        <v>14952</v>
      </c>
      <c r="O119" s="25">
        <v>15166</v>
      </c>
      <c r="P119" s="25">
        <v>0</v>
      </c>
      <c r="Q119" s="25">
        <v>510</v>
      </c>
      <c r="R119" s="31">
        <f t="shared" si="44"/>
        <v>15676</v>
      </c>
      <c r="S119" s="34">
        <v>0</v>
      </c>
      <c r="T119" s="35">
        <v>0</v>
      </c>
      <c r="U119" s="35">
        <f t="shared" si="49"/>
        <v>15676</v>
      </c>
      <c r="V119" s="34">
        <v>15676</v>
      </c>
      <c r="W119" s="34">
        <f>1638</f>
        <v>1638</v>
      </c>
      <c r="X119" s="35">
        <v>0</v>
      </c>
      <c r="Y119" s="34">
        <v>0</v>
      </c>
      <c r="Z119" s="87">
        <f t="shared" si="47"/>
        <v>17314</v>
      </c>
      <c r="AA119" s="87">
        <v>0</v>
      </c>
      <c r="AB119" s="87">
        <v>0</v>
      </c>
      <c r="AC119" s="27">
        <f t="shared" si="46"/>
        <v>17314</v>
      </c>
      <c r="AD119" s="26">
        <v>-650</v>
      </c>
      <c r="AE119" s="26">
        <v>0</v>
      </c>
      <c r="AF119" s="26">
        <f t="shared" si="39"/>
        <v>16664</v>
      </c>
      <c r="AG119" s="34">
        <v>0</v>
      </c>
      <c r="AH119" s="34">
        <v>0</v>
      </c>
      <c r="AI119" s="34">
        <f t="shared" si="42"/>
        <v>16664</v>
      </c>
    </row>
    <row r="120" spans="1:35" x14ac:dyDescent="0.25">
      <c r="A120" s="171" t="s">
        <v>165</v>
      </c>
      <c r="B120" s="162" t="s">
        <v>88</v>
      </c>
      <c r="C120" s="22"/>
      <c r="D120" s="22"/>
      <c r="E120" s="23"/>
      <c r="F120" s="23"/>
      <c r="G120" s="23"/>
      <c r="H120" s="24"/>
      <c r="I120" s="25"/>
      <c r="J120" s="25"/>
      <c r="K120" s="25"/>
      <c r="L120" s="24"/>
      <c r="M120" s="24"/>
      <c r="N120" s="25"/>
      <c r="O120" s="25"/>
      <c r="P120" s="25"/>
      <c r="Q120" s="25"/>
      <c r="R120" s="31"/>
      <c r="S120" s="34"/>
      <c r="T120" s="35"/>
      <c r="U120" s="35"/>
      <c r="V120" s="34">
        <v>0</v>
      </c>
      <c r="W120" s="34">
        <v>0</v>
      </c>
      <c r="X120" s="35">
        <v>0</v>
      </c>
      <c r="Y120" s="34">
        <f>1163</f>
        <v>1163</v>
      </c>
      <c r="Z120" s="87">
        <f>SUM(V120:Y120)</f>
        <v>1163</v>
      </c>
      <c r="AA120" s="87">
        <v>0</v>
      </c>
      <c r="AB120" s="87">
        <v>0</v>
      </c>
      <c r="AC120" s="27">
        <f t="shared" si="46"/>
        <v>1163</v>
      </c>
      <c r="AD120" s="26">
        <v>0</v>
      </c>
      <c r="AE120" s="26">
        <v>0</v>
      </c>
      <c r="AF120" s="26">
        <f t="shared" si="39"/>
        <v>1163</v>
      </c>
      <c r="AG120" s="34">
        <v>0</v>
      </c>
      <c r="AH120" s="34">
        <v>0</v>
      </c>
      <c r="AI120" s="34">
        <f t="shared" si="42"/>
        <v>1163</v>
      </c>
    </row>
    <row r="121" spans="1:35" x14ac:dyDescent="0.25">
      <c r="A121" s="167" t="s">
        <v>166</v>
      </c>
      <c r="B121" s="162" t="s">
        <v>88</v>
      </c>
      <c r="C121" s="22"/>
      <c r="D121" s="22"/>
      <c r="E121" s="23"/>
      <c r="F121" s="23"/>
      <c r="G121" s="23"/>
      <c r="H121" s="24"/>
      <c r="I121" s="25"/>
      <c r="J121" s="25"/>
      <c r="K121" s="25"/>
      <c r="L121" s="24"/>
      <c r="M121" s="24"/>
      <c r="N121" s="25"/>
      <c r="O121" s="25"/>
      <c r="P121" s="25"/>
      <c r="Q121" s="25"/>
      <c r="R121" s="31"/>
      <c r="S121" s="34"/>
      <c r="T121" s="35"/>
      <c r="U121" s="35"/>
      <c r="V121" s="34">
        <v>0</v>
      </c>
      <c r="W121" s="34"/>
      <c r="X121" s="35"/>
      <c r="Y121" s="34"/>
      <c r="Z121" s="87">
        <v>0</v>
      </c>
      <c r="AA121" s="87">
        <v>0</v>
      </c>
      <c r="AB121" s="87">
        <f>104</f>
        <v>104</v>
      </c>
      <c r="AC121" s="27">
        <f>Z121+AA121+AB121</f>
        <v>104</v>
      </c>
      <c r="AD121" s="26">
        <v>0</v>
      </c>
      <c r="AE121" s="26">
        <v>0</v>
      </c>
      <c r="AF121" s="26">
        <f t="shared" si="39"/>
        <v>104</v>
      </c>
      <c r="AG121" s="34">
        <v>0</v>
      </c>
      <c r="AH121" s="34">
        <v>0</v>
      </c>
      <c r="AI121" s="34">
        <f t="shared" si="42"/>
        <v>104</v>
      </c>
    </row>
    <row r="122" spans="1:35" x14ac:dyDescent="0.25">
      <c r="A122" s="163" t="s">
        <v>167</v>
      </c>
      <c r="B122" s="162" t="s">
        <v>88</v>
      </c>
      <c r="C122" s="30">
        <v>14864</v>
      </c>
      <c r="D122" s="30">
        <v>18732</v>
      </c>
      <c r="E122" s="31">
        <v>0</v>
      </c>
      <c r="F122" s="31">
        <v>626</v>
      </c>
      <c r="G122" s="31">
        <f t="shared" si="43"/>
        <v>19358</v>
      </c>
      <c r="H122" s="32">
        <v>10</v>
      </c>
      <c r="I122" s="33">
        <v>0</v>
      </c>
      <c r="J122" s="33">
        <v>0</v>
      </c>
      <c r="K122" s="33">
        <f t="shared" si="40"/>
        <v>19368</v>
      </c>
      <c r="L122" s="32">
        <v>0</v>
      </c>
      <c r="M122" s="32">
        <v>0</v>
      </c>
      <c r="N122" s="33">
        <f t="shared" si="41"/>
        <v>19368</v>
      </c>
      <c r="O122" s="33">
        <v>17840</v>
      </c>
      <c r="P122" s="33">
        <v>0</v>
      </c>
      <c r="Q122" s="33">
        <v>859</v>
      </c>
      <c r="R122" s="31">
        <f t="shared" si="44"/>
        <v>18699</v>
      </c>
      <c r="S122" s="34">
        <v>0</v>
      </c>
      <c r="T122" s="35">
        <v>0</v>
      </c>
      <c r="U122" s="35">
        <f t="shared" si="49"/>
        <v>18699</v>
      </c>
      <c r="V122" s="34">
        <v>19599</v>
      </c>
      <c r="W122" s="34">
        <f>1120</f>
        <v>1120</v>
      </c>
      <c r="X122" s="35">
        <v>0</v>
      </c>
      <c r="Y122" s="34">
        <v>0</v>
      </c>
      <c r="Z122" s="87">
        <f t="shared" si="47"/>
        <v>20719</v>
      </c>
      <c r="AA122" s="87">
        <v>0</v>
      </c>
      <c r="AB122" s="87">
        <v>0</v>
      </c>
      <c r="AC122" s="27">
        <f t="shared" si="46"/>
        <v>20719</v>
      </c>
      <c r="AD122" s="26">
        <v>-1500</v>
      </c>
      <c r="AE122" s="26">
        <v>0</v>
      </c>
      <c r="AF122" s="26">
        <f t="shared" si="39"/>
        <v>19219</v>
      </c>
      <c r="AG122" s="34">
        <v>0</v>
      </c>
      <c r="AH122" s="34">
        <v>0</v>
      </c>
      <c r="AI122" s="34">
        <f t="shared" si="42"/>
        <v>19219</v>
      </c>
    </row>
    <row r="123" spans="1:35" ht="24.75" customHeight="1" x14ac:dyDescent="0.25">
      <c r="A123" s="28" t="s">
        <v>168</v>
      </c>
      <c r="B123" s="162" t="s">
        <v>88</v>
      </c>
      <c r="C123" s="30"/>
      <c r="D123" s="30"/>
      <c r="E123" s="31"/>
      <c r="F123" s="31"/>
      <c r="G123" s="31"/>
      <c r="H123" s="32"/>
      <c r="I123" s="33"/>
      <c r="J123" s="33"/>
      <c r="K123" s="33"/>
      <c r="L123" s="32"/>
      <c r="M123" s="32"/>
      <c r="N123" s="33"/>
      <c r="O123" s="33">
        <v>0</v>
      </c>
      <c r="P123" s="33"/>
      <c r="Q123" s="33"/>
      <c r="R123" s="31"/>
      <c r="S123" s="32"/>
      <c r="T123" s="33"/>
      <c r="U123" s="33">
        <v>0</v>
      </c>
      <c r="V123" s="34">
        <v>1200</v>
      </c>
      <c r="W123" s="34">
        <v>0</v>
      </c>
      <c r="X123" s="35">
        <v>0</v>
      </c>
      <c r="Y123" s="34">
        <v>0</v>
      </c>
      <c r="Z123" s="35">
        <f t="shared" si="47"/>
        <v>1200</v>
      </c>
      <c r="AA123" s="35">
        <v>0</v>
      </c>
      <c r="AB123" s="35">
        <v>0</v>
      </c>
      <c r="AC123" s="27">
        <f t="shared" si="46"/>
        <v>1200</v>
      </c>
      <c r="AD123" s="26">
        <v>0</v>
      </c>
      <c r="AE123" s="26">
        <v>0</v>
      </c>
      <c r="AF123" s="26">
        <f t="shared" si="39"/>
        <v>1200</v>
      </c>
      <c r="AG123" s="34">
        <v>0</v>
      </c>
      <c r="AH123" s="34">
        <v>0</v>
      </c>
      <c r="AI123" s="34">
        <f t="shared" si="42"/>
        <v>1200</v>
      </c>
    </row>
    <row r="124" spans="1:35" x14ac:dyDescent="0.25">
      <c r="A124" s="28" t="s">
        <v>169</v>
      </c>
      <c r="B124" s="176" t="s">
        <v>88</v>
      </c>
      <c r="C124" s="30"/>
      <c r="D124" s="30"/>
      <c r="E124" s="31"/>
      <c r="F124" s="31"/>
      <c r="G124" s="31"/>
      <c r="H124" s="32"/>
      <c r="I124" s="33"/>
      <c r="J124" s="33"/>
      <c r="K124" s="33"/>
      <c r="L124" s="32"/>
      <c r="M124" s="32"/>
      <c r="N124" s="33"/>
      <c r="O124" s="33"/>
      <c r="P124" s="33"/>
      <c r="Q124" s="33"/>
      <c r="R124" s="31"/>
      <c r="S124" s="32"/>
      <c r="T124" s="33"/>
      <c r="U124" s="33"/>
      <c r="V124" s="34">
        <v>0</v>
      </c>
      <c r="W124" s="34"/>
      <c r="X124" s="35"/>
      <c r="Y124" s="34"/>
      <c r="Z124" s="87">
        <v>0</v>
      </c>
      <c r="AA124" s="87">
        <f>150</f>
        <v>150</v>
      </c>
      <c r="AB124" s="87">
        <v>0</v>
      </c>
      <c r="AC124" s="27">
        <f t="shared" si="46"/>
        <v>150</v>
      </c>
      <c r="AD124" s="26">
        <v>0</v>
      </c>
      <c r="AE124" s="26">
        <v>0</v>
      </c>
      <c r="AF124" s="26">
        <f t="shared" si="39"/>
        <v>150</v>
      </c>
      <c r="AG124" s="34">
        <v>0</v>
      </c>
      <c r="AH124" s="34">
        <v>0</v>
      </c>
      <c r="AI124" s="34">
        <f t="shared" si="42"/>
        <v>150</v>
      </c>
    </row>
    <row r="125" spans="1:35" x14ac:dyDescent="0.25">
      <c r="A125" s="163" t="s">
        <v>170</v>
      </c>
      <c r="B125" s="176" t="s">
        <v>171</v>
      </c>
      <c r="C125" s="30">
        <v>280</v>
      </c>
      <c r="D125" s="30">
        <v>427</v>
      </c>
      <c r="E125" s="31">
        <v>0</v>
      </c>
      <c r="F125" s="31">
        <v>0</v>
      </c>
      <c r="G125" s="31">
        <f t="shared" si="43"/>
        <v>427</v>
      </c>
      <c r="H125" s="32">
        <v>0</v>
      </c>
      <c r="I125" s="33">
        <v>0</v>
      </c>
      <c r="J125" s="33">
        <v>0</v>
      </c>
      <c r="K125" s="33">
        <f t="shared" si="40"/>
        <v>427</v>
      </c>
      <c r="L125" s="32">
        <v>0</v>
      </c>
      <c r="M125" s="32">
        <v>0</v>
      </c>
      <c r="N125" s="33">
        <f t="shared" si="41"/>
        <v>427</v>
      </c>
      <c r="O125" s="33">
        <v>450</v>
      </c>
      <c r="P125" s="33">
        <v>0</v>
      </c>
      <c r="Q125" s="33">
        <v>0</v>
      </c>
      <c r="R125" s="31">
        <f>O125+P125+Q125</f>
        <v>450</v>
      </c>
      <c r="S125" s="34">
        <v>0</v>
      </c>
      <c r="T125" s="35">
        <v>0</v>
      </c>
      <c r="U125" s="35">
        <f t="shared" si="49"/>
        <v>450</v>
      </c>
      <c r="V125" s="34">
        <v>520</v>
      </c>
      <c r="W125" s="34">
        <v>0</v>
      </c>
      <c r="X125" s="35">
        <v>0</v>
      </c>
      <c r="Y125" s="34">
        <v>0</v>
      </c>
      <c r="Z125" s="87">
        <f t="shared" si="47"/>
        <v>520</v>
      </c>
      <c r="AA125" s="87">
        <v>0</v>
      </c>
      <c r="AB125" s="87">
        <v>0</v>
      </c>
      <c r="AC125" s="27">
        <f t="shared" si="46"/>
        <v>520</v>
      </c>
      <c r="AD125" s="26">
        <v>0</v>
      </c>
      <c r="AE125" s="26">
        <v>0</v>
      </c>
      <c r="AF125" s="26">
        <f t="shared" si="39"/>
        <v>520</v>
      </c>
      <c r="AG125" s="34">
        <v>0</v>
      </c>
      <c r="AH125" s="34">
        <v>0</v>
      </c>
      <c r="AI125" s="34">
        <f t="shared" si="42"/>
        <v>520</v>
      </c>
    </row>
    <row r="126" spans="1:35" ht="14.25" customHeight="1" x14ac:dyDescent="0.25">
      <c r="A126" s="20" t="s">
        <v>172</v>
      </c>
      <c r="B126" s="177" t="s">
        <v>90</v>
      </c>
      <c r="C126" s="22"/>
      <c r="D126" s="22"/>
      <c r="E126" s="23"/>
      <c r="F126" s="23"/>
      <c r="G126" s="23"/>
      <c r="H126" s="24"/>
      <c r="I126" s="25"/>
      <c r="J126" s="25"/>
      <c r="K126" s="25"/>
      <c r="L126" s="24"/>
      <c r="M126" s="24"/>
      <c r="N126" s="25"/>
      <c r="O126" s="25">
        <v>0</v>
      </c>
      <c r="P126" s="25"/>
      <c r="Q126" s="25"/>
      <c r="R126" s="31"/>
      <c r="S126" s="32"/>
      <c r="T126" s="33"/>
      <c r="U126" s="33">
        <v>0</v>
      </c>
      <c r="V126" s="34">
        <v>110</v>
      </c>
      <c r="W126" s="34">
        <v>0</v>
      </c>
      <c r="X126" s="35">
        <v>0</v>
      </c>
      <c r="Y126" s="34">
        <v>0</v>
      </c>
      <c r="Z126" s="87">
        <f t="shared" si="47"/>
        <v>110</v>
      </c>
      <c r="AA126" s="87">
        <v>0</v>
      </c>
      <c r="AB126" s="87">
        <v>0</v>
      </c>
      <c r="AC126" s="27">
        <f t="shared" si="46"/>
        <v>110</v>
      </c>
      <c r="AD126" s="26">
        <v>0</v>
      </c>
      <c r="AE126" s="26">
        <v>0</v>
      </c>
      <c r="AF126" s="26">
        <f t="shared" si="39"/>
        <v>110</v>
      </c>
      <c r="AG126" s="34">
        <v>0</v>
      </c>
      <c r="AH126" s="34">
        <v>0</v>
      </c>
      <c r="AI126" s="34">
        <f t="shared" si="42"/>
        <v>110</v>
      </c>
    </row>
    <row r="127" spans="1:35" ht="24.75" customHeight="1" x14ac:dyDescent="0.25">
      <c r="A127" s="20" t="s">
        <v>173</v>
      </c>
      <c r="B127" s="139" t="s">
        <v>90</v>
      </c>
      <c r="C127" s="22"/>
      <c r="D127" s="22"/>
      <c r="E127" s="23"/>
      <c r="F127" s="23"/>
      <c r="G127" s="23"/>
      <c r="H127" s="24"/>
      <c r="I127" s="25"/>
      <c r="J127" s="25"/>
      <c r="K127" s="25"/>
      <c r="L127" s="24"/>
      <c r="M127" s="24"/>
      <c r="N127" s="25"/>
      <c r="O127" s="25">
        <v>0</v>
      </c>
      <c r="P127" s="25">
        <v>0</v>
      </c>
      <c r="Q127" s="25">
        <v>100</v>
      </c>
      <c r="R127" s="31">
        <f t="shared" ref="R127:R141" si="50">O127+P127+Q127</f>
        <v>100</v>
      </c>
      <c r="S127" s="32">
        <v>0</v>
      </c>
      <c r="T127" s="33">
        <v>0</v>
      </c>
      <c r="U127" s="33">
        <f t="shared" si="49"/>
        <v>100</v>
      </c>
      <c r="V127" s="34">
        <v>100</v>
      </c>
      <c r="W127" s="34">
        <v>0</v>
      </c>
      <c r="X127" s="35">
        <v>0</v>
      </c>
      <c r="Y127" s="34">
        <v>0</v>
      </c>
      <c r="Z127" s="87">
        <f t="shared" si="47"/>
        <v>100</v>
      </c>
      <c r="AA127" s="87">
        <v>0</v>
      </c>
      <c r="AB127" s="87">
        <v>0</v>
      </c>
      <c r="AC127" s="27">
        <f t="shared" si="46"/>
        <v>100</v>
      </c>
      <c r="AD127" s="26">
        <v>0</v>
      </c>
      <c r="AE127" s="26">
        <v>0</v>
      </c>
      <c r="AF127" s="26">
        <f t="shared" si="39"/>
        <v>100</v>
      </c>
      <c r="AG127" s="34">
        <v>0</v>
      </c>
      <c r="AH127" s="34">
        <v>0</v>
      </c>
      <c r="AI127" s="34">
        <f t="shared" si="42"/>
        <v>100</v>
      </c>
    </row>
    <row r="128" spans="1:35" ht="24.75" customHeight="1" x14ac:dyDescent="0.25">
      <c r="A128" s="20" t="s">
        <v>174</v>
      </c>
      <c r="B128" s="139" t="s">
        <v>90</v>
      </c>
      <c r="C128" s="22"/>
      <c r="D128" s="22"/>
      <c r="E128" s="23"/>
      <c r="F128" s="23"/>
      <c r="G128" s="23"/>
      <c r="H128" s="24"/>
      <c r="I128" s="25"/>
      <c r="J128" s="25"/>
      <c r="K128" s="25"/>
      <c r="L128" s="24"/>
      <c r="M128" s="24"/>
      <c r="N128" s="25"/>
      <c r="O128" s="25">
        <v>0</v>
      </c>
      <c r="P128" s="25">
        <v>0</v>
      </c>
      <c r="Q128" s="25">
        <v>10</v>
      </c>
      <c r="R128" s="31">
        <f t="shared" si="50"/>
        <v>10</v>
      </c>
      <c r="S128" s="32">
        <v>0</v>
      </c>
      <c r="T128" s="33">
        <v>0</v>
      </c>
      <c r="U128" s="33">
        <f t="shared" si="49"/>
        <v>10</v>
      </c>
      <c r="V128" s="34">
        <v>4</v>
      </c>
      <c r="W128" s="34">
        <v>0</v>
      </c>
      <c r="X128" s="35">
        <v>0</v>
      </c>
      <c r="Y128" s="34">
        <v>0</v>
      </c>
      <c r="Z128" s="87">
        <f t="shared" si="47"/>
        <v>4</v>
      </c>
      <c r="AA128" s="87">
        <v>0</v>
      </c>
      <c r="AB128" s="87">
        <v>0</v>
      </c>
      <c r="AC128" s="27">
        <f t="shared" si="46"/>
        <v>4</v>
      </c>
      <c r="AD128" s="26">
        <v>0</v>
      </c>
      <c r="AE128" s="26">
        <v>0</v>
      </c>
      <c r="AF128" s="26">
        <f t="shared" si="39"/>
        <v>4</v>
      </c>
      <c r="AG128" s="34">
        <v>0</v>
      </c>
      <c r="AH128" s="34">
        <v>0</v>
      </c>
      <c r="AI128" s="34">
        <f t="shared" si="42"/>
        <v>4</v>
      </c>
    </row>
    <row r="129" spans="1:35" ht="15" customHeight="1" x14ac:dyDescent="0.25">
      <c r="A129" s="28" t="s">
        <v>175</v>
      </c>
      <c r="B129" s="177" t="s">
        <v>90</v>
      </c>
      <c r="C129" s="30"/>
      <c r="D129" s="30"/>
      <c r="E129" s="30"/>
      <c r="F129" s="30"/>
      <c r="G129" s="30"/>
      <c r="H129" s="32"/>
      <c r="I129" s="32"/>
      <c r="J129" s="32"/>
      <c r="K129" s="32"/>
      <c r="L129" s="32"/>
      <c r="M129" s="32"/>
      <c r="N129" s="32"/>
      <c r="O129" s="32">
        <v>0</v>
      </c>
      <c r="P129" s="25">
        <v>0</v>
      </c>
      <c r="Q129" s="25">
        <v>350</v>
      </c>
      <c r="R129" s="31">
        <f t="shared" si="50"/>
        <v>350</v>
      </c>
      <c r="S129" s="34">
        <v>0</v>
      </c>
      <c r="T129" s="35">
        <v>0</v>
      </c>
      <c r="U129" s="35">
        <f t="shared" si="49"/>
        <v>350</v>
      </c>
      <c r="V129" s="34">
        <v>350</v>
      </c>
      <c r="W129" s="34">
        <v>0</v>
      </c>
      <c r="X129" s="35">
        <v>0</v>
      </c>
      <c r="Y129" s="34">
        <v>0</v>
      </c>
      <c r="Z129" s="87">
        <f t="shared" si="47"/>
        <v>350</v>
      </c>
      <c r="AA129" s="87">
        <v>0</v>
      </c>
      <c r="AB129" s="87">
        <v>0</v>
      </c>
      <c r="AC129" s="27">
        <f t="shared" si="46"/>
        <v>350</v>
      </c>
      <c r="AD129" s="26">
        <v>0</v>
      </c>
      <c r="AE129" s="26">
        <v>0</v>
      </c>
      <c r="AF129" s="26">
        <f t="shared" si="39"/>
        <v>350</v>
      </c>
      <c r="AG129" s="34">
        <v>0</v>
      </c>
      <c r="AH129" s="34">
        <v>0</v>
      </c>
      <c r="AI129" s="34">
        <f t="shared" si="42"/>
        <v>350</v>
      </c>
    </row>
    <row r="130" spans="1:35" ht="15" customHeight="1" x14ac:dyDescent="0.25">
      <c r="A130" s="28" t="s">
        <v>176</v>
      </c>
      <c r="B130" s="177" t="s">
        <v>177</v>
      </c>
      <c r="C130" s="30"/>
      <c r="D130" s="30"/>
      <c r="E130" s="31"/>
      <c r="F130" s="31"/>
      <c r="G130" s="31"/>
      <c r="H130" s="32"/>
      <c r="I130" s="33"/>
      <c r="J130" s="33"/>
      <c r="K130" s="33"/>
      <c r="L130" s="32"/>
      <c r="M130" s="32"/>
      <c r="N130" s="33"/>
      <c r="O130" s="33">
        <v>0</v>
      </c>
      <c r="P130" s="33">
        <v>0</v>
      </c>
      <c r="Q130" s="33">
        <v>1250</v>
      </c>
      <c r="R130" s="31">
        <f t="shared" si="50"/>
        <v>1250</v>
      </c>
      <c r="S130" s="34">
        <v>0</v>
      </c>
      <c r="T130" s="35">
        <v>0</v>
      </c>
      <c r="U130" s="35">
        <f t="shared" si="49"/>
        <v>1250</v>
      </c>
      <c r="V130" s="34">
        <v>1100</v>
      </c>
      <c r="W130" s="34">
        <v>0</v>
      </c>
      <c r="X130" s="35">
        <v>0</v>
      </c>
      <c r="Y130" s="34">
        <v>0</v>
      </c>
      <c r="Z130" s="87">
        <f t="shared" si="47"/>
        <v>1100</v>
      </c>
      <c r="AA130" s="87">
        <v>0</v>
      </c>
      <c r="AB130" s="87">
        <v>0</v>
      </c>
      <c r="AC130" s="27">
        <f t="shared" si="46"/>
        <v>1100</v>
      </c>
      <c r="AD130" s="26">
        <v>-1100</v>
      </c>
      <c r="AE130" s="26">
        <v>0</v>
      </c>
      <c r="AF130" s="26">
        <f t="shared" si="39"/>
        <v>0</v>
      </c>
      <c r="AG130" s="34">
        <v>0</v>
      </c>
      <c r="AH130" s="34">
        <v>0</v>
      </c>
      <c r="AI130" s="34">
        <f t="shared" si="42"/>
        <v>0</v>
      </c>
    </row>
    <row r="131" spans="1:35" ht="24.75" customHeight="1" x14ac:dyDescent="0.25">
      <c r="A131" s="20" t="s">
        <v>178</v>
      </c>
      <c r="B131" s="139" t="s">
        <v>90</v>
      </c>
      <c r="C131" s="22"/>
      <c r="D131" s="22"/>
      <c r="E131" s="23"/>
      <c r="F131" s="23"/>
      <c r="G131" s="23"/>
      <c r="H131" s="24"/>
      <c r="I131" s="25"/>
      <c r="J131" s="25"/>
      <c r="K131" s="25"/>
      <c r="L131" s="24"/>
      <c r="M131" s="24"/>
      <c r="N131" s="25"/>
      <c r="O131" s="25">
        <v>0</v>
      </c>
      <c r="P131" s="25">
        <v>0</v>
      </c>
      <c r="Q131" s="25">
        <v>150</v>
      </c>
      <c r="R131" s="31">
        <f t="shared" si="50"/>
        <v>150</v>
      </c>
      <c r="S131" s="32">
        <v>0</v>
      </c>
      <c r="T131" s="33">
        <v>0</v>
      </c>
      <c r="U131" s="33">
        <f t="shared" si="49"/>
        <v>150</v>
      </c>
      <c r="V131" s="34">
        <v>150</v>
      </c>
      <c r="W131" s="34">
        <v>0</v>
      </c>
      <c r="X131" s="35">
        <v>0</v>
      </c>
      <c r="Y131" s="34">
        <v>0</v>
      </c>
      <c r="Z131" s="87">
        <f t="shared" si="47"/>
        <v>150</v>
      </c>
      <c r="AA131" s="87">
        <v>0</v>
      </c>
      <c r="AB131" s="87">
        <v>0</v>
      </c>
      <c r="AC131" s="27">
        <f t="shared" si="46"/>
        <v>150</v>
      </c>
      <c r="AD131" s="26">
        <v>0</v>
      </c>
      <c r="AE131" s="26">
        <v>0</v>
      </c>
      <c r="AF131" s="26">
        <f t="shared" si="39"/>
        <v>150</v>
      </c>
      <c r="AG131" s="34">
        <v>0</v>
      </c>
      <c r="AH131" s="34">
        <v>0</v>
      </c>
      <c r="AI131" s="34">
        <f t="shared" si="42"/>
        <v>150</v>
      </c>
    </row>
    <row r="132" spans="1:35" ht="15" customHeight="1" x14ac:dyDescent="0.25">
      <c r="A132" s="28" t="s">
        <v>179</v>
      </c>
      <c r="B132" s="176" t="s">
        <v>90</v>
      </c>
      <c r="C132" s="30"/>
      <c r="D132" s="30"/>
      <c r="E132" s="31"/>
      <c r="F132" s="31"/>
      <c r="G132" s="31"/>
      <c r="H132" s="32"/>
      <c r="I132" s="33"/>
      <c r="J132" s="33"/>
      <c r="K132" s="33"/>
      <c r="L132" s="32"/>
      <c r="M132" s="32"/>
      <c r="N132" s="33"/>
      <c r="O132" s="33">
        <v>0</v>
      </c>
      <c r="P132" s="33">
        <v>0</v>
      </c>
      <c r="Q132" s="32">
        <v>30</v>
      </c>
      <c r="R132" s="31">
        <f t="shared" si="50"/>
        <v>30</v>
      </c>
      <c r="S132" s="34">
        <v>0</v>
      </c>
      <c r="T132" s="35">
        <v>0</v>
      </c>
      <c r="U132" s="35">
        <f t="shared" si="49"/>
        <v>30</v>
      </c>
      <c r="V132" s="34">
        <v>40</v>
      </c>
      <c r="W132" s="34">
        <v>0</v>
      </c>
      <c r="X132" s="35">
        <v>0</v>
      </c>
      <c r="Y132" s="34">
        <v>0</v>
      </c>
      <c r="Z132" s="87">
        <f t="shared" si="47"/>
        <v>40</v>
      </c>
      <c r="AA132" s="87">
        <v>0</v>
      </c>
      <c r="AB132" s="87">
        <v>0</v>
      </c>
      <c r="AC132" s="27">
        <f t="shared" si="46"/>
        <v>40</v>
      </c>
      <c r="AD132" s="26">
        <v>0</v>
      </c>
      <c r="AE132" s="26">
        <v>0</v>
      </c>
      <c r="AF132" s="26">
        <f t="shared" si="39"/>
        <v>40</v>
      </c>
      <c r="AG132" s="34">
        <v>0</v>
      </c>
      <c r="AH132" s="34">
        <v>0</v>
      </c>
      <c r="AI132" s="34">
        <f t="shared" si="42"/>
        <v>40</v>
      </c>
    </row>
    <row r="133" spans="1:35" ht="25.5" customHeight="1" x14ac:dyDescent="0.25">
      <c r="A133" s="28" t="s">
        <v>180</v>
      </c>
      <c r="B133" s="139" t="s">
        <v>90</v>
      </c>
      <c r="C133" s="30"/>
      <c r="D133" s="30"/>
      <c r="E133" s="31"/>
      <c r="F133" s="31"/>
      <c r="G133" s="31"/>
      <c r="H133" s="32"/>
      <c r="I133" s="33"/>
      <c r="J133" s="33"/>
      <c r="K133" s="33"/>
      <c r="L133" s="32"/>
      <c r="M133" s="32"/>
      <c r="N133" s="33"/>
      <c r="O133" s="33">
        <v>0</v>
      </c>
      <c r="P133" s="33">
        <v>0</v>
      </c>
      <c r="Q133" s="33">
        <v>160</v>
      </c>
      <c r="R133" s="31">
        <f t="shared" si="50"/>
        <v>160</v>
      </c>
      <c r="S133" s="32">
        <v>0</v>
      </c>
      <c r="T133" s="33">
        <v>0</v>
      </c>
      <c r="U133" s="33">
        <f>SUM(R133:T133)</f>
        <v>160</v>
      </c>
      <c r="V133" s="34">
        <v>160</v>
      </c>
      <c r="W133" s="34">
        <v>0</v>
      </c>
      <c r="X133" s="35">
        <v>0</v>
      </c>
      <c r="Y133" s="34">
        <v>0</v>
      </c>
      <c r="Z133" s="87">
        <f t="shared" si="47"/>
        <v>160</v>
      </c>
      <c r="AA133" s="87">
        <v>0</v>
      </c>
      <c r="AB133" s="87">
        <v>0</v>
      </c>
      <c r="AC133" s="27">
        <f t="shared" si="46"/>
        <v>160</v>
      </c>
      <c r="AD133" s="26">
        <v>0</v>
      </c>
      <c r="AE133" s="26">
        <v>0</v>
      </c>
      <c r="AF133" s="26">
        <f t="shared" si="39"/>
        <v>160</v>
      </c>
      <c r="AG133" s="34">
        <v>0</v>
      </c>
      <c r="AH133" s="34">
        <v>0</v>
      </c>
      <c r="AI133" s="34">
        <f t="shared" ref="AI133:AI165" si="51">SUM(AF133:AH133)</f>
        <v>160</v>
      </c>
    </row>
    <row r="134" spans="1:35" ht="15" customHeight="1" x14ac:dyDescent="0.25">
      <c r="A134" s="28" t="s">
        <v>181</v>
      </c>
      <c r="B134" s="162" t="s">
        <v>177</v>
      </c>
      <c r="C134" s="30"/>
      <c r="D134" s="30"/>
      <c r="E134" s="31"/>
      <c r="F134" s="31"/>
      <c r="G134" s="31"/>
      <c r="H134" s="32"/>
      <c r="I134" s="33"/>
      <c r="J134" s="33"/>
      <c r="K134" s="33"/>
      <c r="L134" s="32"/>
      <c r="M134" s="32"/>
      <c r="N134" s="33"/>
      <c r="O134" s="33">
        <v>0</v>
      </c>
      <c r="P134" s="33">
        <v>0</v>
      </c>
      <c r="Q134" s="33">
        <v>700</v>
      </c>
      <c r="R134" s="31">
        <f t="shared" si="50"/>
        <v>700</v>
      </c>
      <c r="S134" s="34">
        <v>0</v>
      </c>
      <c r="T134" s="35">
        <v>0</v>
      </c>
      <c r="U134" s="33">
        <f t="shared" ref="U134:U158" si="52">SUM(R134:T134)</f>
        <v>700</v>
      </c>
      <c r="V134" s="34">
        <v>700</v>
      </c>
      <c r="W134" s="34">
        <v>0</v>
      </c>
      <c r="X134" s="35">
        <v>0</v>
      </c>
      <c r="Y134" s="34">
        <v>0</v>
      </c>
      <c r="Z134" s="87">
        <f t="shared" si="47"/>
        <v>700</v>
      </c>
      <c r="AA134" s="87">
        <v>0</v>
      </c>
      <c r="AB134" s="87">
        <v>0</v>
      </c>
      <c r="AC134" s="27">
        <f t="shared" si="46"/>
        <v>700</v>
      </c>
      <c r="AD134" s="26">
        <v>0</v>
      </c>
      <c r="AE134" s="26">
        <v>0</v>
      </c>
      <c r="AF134" s="26">
        <f t="shared" si="39"/>
        <v>700</v>
      </c>
      <c r="AG134" s="34">
        <v>0</v>
      </c>
      <c r="AH134" s="34">
        <v>0</v>
      </c>
      <c r="AI134" s="34">
        <f t="shared" si="51"/>
        <v>700</v>
      </c>
    </row>
    <row r="135" spans="1:35" ht="15" customHeight="1" x14ac:dyDescent="0.25">
      <c r="A135" s="20" t="s">
        <v>182</v>
      </c>
      <c r="B135" s="139" t="s">
        <v>90</v>
      </c>
      <c r="C135" s="22"/>
      <c r="D135" s="22"/>
      <c r="E135" s="23"/>
      <c r="F135" s="23"/>
      <c r="G135" s="23"/>
      <c r="H135" s="24"/>
      <c r="I135" s="25"/>
      <c r="J135" s="25"/>
      <c r="K135" s="25"/>
      <c r="L135" s="24"/>
      <c r="M135" s="24"/>
      <c r="N135" s="25"/>
      <c r="O135" s="25">
        <v>0</v>
      </c>
      <c r="P135" s="25">
        <v>0</v>
      </c>
      <c r="Q135" s="25">
        <v>140</v>
      </c>
      <c r="R135" s="31">
        <f t="shared" si="50"/>
        <v>140</v>
      </c>
      <c r="S135" s="34">
        <v>0</v>
      </c>
      <c r="T135" s="35">
        <v>0</v>
      </c>
      <c r="U135" s="33">
        <f t="shared" si="52"/>
        <v>140</v>
      </c>
      <c r="V135" s="34">
        <v>140</v>
      </c>
      <c r="W135" s="34">
        <v>0</v>
      </c>
      <c r="X135" s="35">
        <v>0</v>
      </c>
      <c r="Y135" s="34">
        <v>0</v>
      </c>
      <c r="Z135" s="87">
        <f t="shared" si="47"/>
        <v>140</v>
      </c>
      <c r="AA135" s="87">
        <v>0</v>
      </c>
      <c r="AB135" s="87">
        <v>0</v>
      </c>
      <c r="AC135" s="27">
        <f t="shared" si="46"/>
        <v>140</v>
      </c>
      <c r="AD135" s="26">
        <v>0</v>
      </c>
      <c r="AE135" s="26">
        <v>0</v>
      </c>
      <c r="AF135" s="26">
        <f t="shared" si="39"/>
        <v>140</v>
      </c>
      <c r="AG135" s="34">
        <v>0</v>
      </c>
      <c r="AH135" s="34">
        <v>0</v>
      </c>
      <c r="AI135" s="34">
        <f t="shared" si="51"/>
        <v>140</v>
      </c>
    </row>
    <row r="136" spans="1:35" ht="15" customHeight="1" x14ac:dyDescent="0.25">
      <c r="A136" s="20" t="s">
        <v>183</v>
      </c>
      <c r="B136" s="139" t="s">
        <v>90</v>
      </c>
      <c r="C136" s="22"/>
      <c r="D136" s="22"/>
      <c r="E136" s="23"/>
      <c r="F136" s="23"/>
      <c r="G136" s="23"/>
      <c r="H136" s="24"/>
      <c r="I136" s="25"/>
      <c r="J136" s="25"/>
      <c r="K136" s="25"/>
      <c r="L136" s="24"/>
      <c r="M136" s="24"/>
      <c r="N136" s="25"/>
      <c r="O136" s="25">
        <v>0</v>
      </c>
      <c r="P136" s="25">
        <v>0</v>
      </c>
      <c r="Q136" s="25">
        <v>70</v>
      </c>
      <c r="R136" s="31">
        <f t="shared" si="50"/>
        <v>70</v>
      </c>
      <c r="S136" s="34">
        <v>0</v>
      </c>
      <c r="T136" s="35">
        <v>0</v>
      </c>
      <c r="U136" s="33">
        <f t="shared" si="52"/>
        <v>70</v>
      </c>
      <c r="V136" s="34">
        <v>110</v>
      </c>
      <c r="W136" s="34">
        <v>0</v>
      </c>
      <c r="X136" s="35">
        <v>0</v>
      </c>
      <c r="Y136" s="34">
        <v>0</v>
      </c>
      <c r="Z136" s="87">
        <f t="shared" si="47"/>
        <v>110</v>
      </c>
      <c r="AA136" s="87">
        <v>0</v>
      </c>
      <c r="AB136" s="87">
        <v>0</v>
      </c>
      <c r="AC136" s="27">
        <f t="shared" si="46"/>
        <v>110</v>
      </c>
      <c r="AD136" s="26">
        <v>0</v>
      </c>
      <c r="AE136" s="26">
        <v>0</v>
      </c>
      <c r="AF136" s="26">
        <f>SUM(AC136:AE136)</f>
        <v>110</v>
      </c>
      <c r="AG136" s="34">
        <v>0</v>
      </c>
      <c r="AH136" s="34">
        <v>0</v>
      </c>
      <c r="AI136" s="34">
        <f t="shared" si="51"/>
        <v>110</v>
      </c>
    </row>
    <row r="137" spans="1:35" ht="15" customHeight="1" x14ac:dyDescent="0.25">
      <c r="A137" s="20" t="s">
        <v>184</v>
      </c>
      <c r="B137" s="139" t="s">
        <v>90</v>
      </c>
      <c r="C137" s="22"/>
      <c r="D137" s="22"/>
      <c r="E137" s="23"/>
      <c r="F137" s="23"/>
      <c r="G137" s="23"/>
      <c r="H137" s="24"/>
      <c r="I137" s="25"/>
      <c r="J137" s="25"/>
      <c r="K137" s="25"/>
      <c r="L137" s="24"/>
      <c r="M137" s="24"/>
      <c r="N137" s="25"/>
      <c r="O137" s="25">
        <v>0</v>
      </c>
      <c r="P137" s="25">
        <v>0</v>
      </c>
      <c r="Q137" s="25">
        <v>95</v>
      </c>
      <c r="R137" s="31">
        <f t="shared" si="50"/>
        <v>95</v>
      </c>
      <c r="S137" s="34">
        <v>0</v>
      </c>
      <c r="T137" s="35">
        <v>0</v>
      </c>
      <c r="U137" s="33">
        <f t="shared" si="52"/>
        <v>95</v>
      </c>
      <c r="V137" s="34">
        <v>95</v>
      </c>
      <c r="W137" s="34">
        <f>V137-U137</f>
        <v>0</v>
      </c>
      <c r="X137" s="35">
        <v>0</v>
      </c>
      <c r="Y137" s="34">
        <v>0</v>
      </c>
      <c r="Z137" s="87">
        <f t="shared" si="47"/>
        <v>95</v>
      </c>
      <c r="AA137" s="87">
        <v>0</v>
      </c>
      <c r="AB137" s="87">
        <v>0</v>
      </c>
      <c r="AC137" s="27">
        <f t="shared" si="46"/>
        <v>95</v>
      </c>
      <c r="AD137" s="26">
        <v>0</v>
      </c>
      <c r="AE137" s="26">
        <v>0</v>
      </c>
      <c r="AF137" s="26">
        <f t="shared" si="39"/>
        <v>95</v>
      </c>
      <c r="AG137" s="34">
        <v>0</v>
      </c>
      <c r="AH137" s="34">
        <v>0</v>
      </c>
      <c r="AI137" s="34">
        <f t="shared" si="51"/>
        <v>95</v>
      </c>
    </row>
    <row r="138" spans="1:35" ht="15" customHeight="1" x14ac:dyDescent="0.25">
      <c r="A138" s="28" t="s">
        <v>185</v>
      </c>
      <c r="B138" s="139" t="s">
        <v>177</v>
      </c>
      <c r="C138" s="30"/>
      <c r="D138" s="30"/>
      <c r="E138" s="31"/>
      <c r="F138" s="31"/>
      <c r="G138" s="31"/>
      <c r="H138" s="32"/>
      <c r="I138" s="33"/>
      <c r="J138" s="33"/>
      <c r="K138" s="33"/>
      <c r="L138" s="32"/>
      <c r="M138" s="32"/>
      <c r="N138" s="33"/>
      <c r="O138" s="33">
        <v>0</v>
      </c>
      <c r="P138" s="33">
        <v>0</v>
      </c>
      <c r="Q138" s="33">
        <v>250</v>
      </c>
      <c r="R138" s="31">
        <f t="shared" si="50"/>
        <v>250</v>
      </c>
      <c r="S138" s="34">
        <v>0</v>
      </c>
      <c r="T138" s="35">
        <v>0</v>
      </c>
      <c r="U138" s="33">
        <f t="shared" si="52"/>
        <v>250</v>
      </c>
      <c r="V138" s="34">
        <v>250</v>
      </c>
      <c r="W138" s="34">
        <f>V138-U138</f>
        <v>0</v>
      </c>
      <c r="X138" s="35">
        <v>0</v>
      </c>
      <c r="Y138" s="34">
        <v>0</v>
      </c>
      <c r="Z138" s="87">
        <f t="shared" si="47"/>
        <v>250</v>
      </c>
      <c r="AA138" s="87">
        <v>0</v>
      </c>
      <c r="AB138" s="87">
        <v>0</v>
      </c>
      <c r="AC138" s="27">
        <f t="shared" si="46"/>
        <v>250</v>
      </c>
      <c r="AD138" s="26">
        <v>0</v>
      </c>
      <c r="AE138" s="26">
        <v>0</v>
      </c>
      <c r="AF138" s="26">
        <f t="shared" si="39"/>
        <v>250</v>
      </c>
      <c r="AG138" s="34">
        <v>0</v>
      </c>
      <c r="AH138" s="34">
        <v>0</v>
      </c>
      <c r="AI138" s="34">
        <f t="shared" si="51"/>
        <v>250</v>
      </c>
    </row>
    <row r="139" spans="1:35" ht="15" customHeight="1" x14ac:dyDescent="0.25">
      <c r="A139" s="28" t="s">
        <v>186</v>
      </c>
      <c r="B139" s="139" t="s">
        <v>187</v>
      </c>
      <c r="C139" s="30"/>
      <c r="D139" s="30"/>
      <c r="E139" s="31"/>
      <c r="F139" s="31"/>
      <c r="G139" s="31"/>
      <c r="H139" s="32"/>
      <c r="I139" s="33"/>
      <c r="J139" s="33"/>
      <c r="K139" s="33"/>
      <c r="L139" s="32"/>
      <c r="M139" s="32"/>
      <c r="N139" s="33"/>
      <c r="O139" s="33">
        <v>0</v>
      </c>
      <c r="P139" s="33">
        <v>0</v>
      </c>
      <c r="Q139" s="33">
        <v>150</v>
      </c>
      <c r="R139" s="31">
        <f t="shared" si="50"/>
        <v>150</v>
      </c>
      <c r="S139" s="34">
        <v>0</v>
      </c>
      <c r="T139" s="35">
        <v>0</v>
      </c>
      <c r="U139" s="33">
        <f t="shared" si="52"/>
        <v>150</v>
      </c>
      <c r="V139" s="34">
        <v>170</v>
      </c>
      <c r="W139" s="34">
        <v>0</v>
      </c>
      <c r="X139" s="35">
        <v>0</v>
      </c>
      <c r="Y139" s="34">
        <v>0</v>
      </c>
      <c r="Z139" s="87">
        <f t="shared" si="47"/>
        <v>170</v>
      </c>
      <c r="AA139" s="87">
        <v>0</v>
      </c>
      <c r="AB139" s="87">
        <v>0</v>
      </c>
      <c r="AC139" s="27">
        <f t="shared" si="46"/>
        <v>170</v>
      </c>
      <c r="AD139" s="26">
        <v>0</v>
      </c>
      <c r="AE139" s="26">
        <v>0</v>
      </c>
      <c r="AF139" s="26">
        <f t="shared" si="39"/>
        <v>170</v>
      </c>
      <c r="AG139" s="34">
        <v>0</v>
      </c>
      <c r="AH139" s="34">
        <v>0</v>
      </c>
      <c r="AI139" s="34">
        <f t="shared" si="51"/>
        <v>170</v>
      </c>
    </row>
    <row r="140" spans="1:35" ht="15" customHeight="1" x14ac:dyDescent="0.25">
      <c r="A140" s="20" t="s">
        <v>188</v>
      </c>
      <c r="B140" s="139" t="s">
        <v>90</v>
      </c>
      <c r="C140" s="22"/>
      <c r="D140" s="22"/>
      <c r="E140" s="23"/>
      <c r="F140" s="23"/>
      <c r="G140" s="23"/>
      <c r="H140" s="24"/>
      <c r="I140" s="25"/>
      <c r="J140" s="25"/>
      <c r="K140" s="25"/>
      <c r="L140" s="24"/>
      <c r="M140" s="24"/>
      <c r="N140" s="25"/>
      <c r="O140" s="25">
        <v>0</v>
      </c>
      <c r="P140" s="25">
        <v>0</v>
      </c>
      <c r="Q140" s="25">
        <v>500</v>
      </c>
      <c r="R140" s="31">
        <f t="shared" si="50"/>
        <v>500</v>
      </c>
      <c r="S140" s="34">
        <v>0</v>
      </c>
      <c r="T140" s="35">
        <v>0</v>
      </c>
      <c r="U140" s="33">
        <f t="shared" si="52"/>
        <v>500</v>
      </c>
      <c r="V140" s="34">
        <v>500</v>
      </c>
      <c r="W140" s="34">
        <v>0</v>
      </c>
      <c r="X140" s="35">
        <v>0</v>
      </c>
      <c r="Y140" s="34">
        <v>0</v>
      </c>
      <c r="Z140" s="87">
        <f t="shared" si="47"/>
        <v>500</v>
      </c>
      <c r="AA140" s="87">
        <v>0</v>
      </c>
      <c r="AB140" s="87">
        <v>0</v>
      </c>
      <c r="AC140" s="27">
        <f t="shared" si="46"/>
        <v>500</v>
      </c>
      <c r="AD140" s="26">
        <v>0</v>
      </c>
      <c r="AE140" s="26">
        <v>0</v>
      </c>
      <c r="AF140" s="26">
        <f t="shared" si="39"/>
        <v>500</v>
      </c>
      <c r="AG140" s="34">
        <v>0</v>
      </c>
      <c r="AH140" s="34">
        <v>0</v>
      </c>
      <c r="AI140" s="34">
        <f t="shared" si="51"/>
        <v>500</v>
      </c>
    </row>
    <row r="141" spans="1:35" ht="15" customHeight="1" x14ac:dyDescent="0.25">
      <c r="A141" s="20" t="s">
        <v>189</v>
      </c>
      <c r="B141" s="139" t="s">
        <v>177</v>
      </c>
      <c r="C141" s="22"/>
      <c r="D141" s="22"/>
      <c r="E141" s="23"/>
      <c r="F141" s="23"/>
      <c r="G141" s="23"/>
      <c r="H141" s="24"/>
      <c r="I141" s="25"/>
      <c r="J141" s="25"/>
      <c r="K141" s="25"/>
      <c r="L141" s="24"/>
      <c r="M141" s="24"/>
      <c r="N141" s="25"/>
      <c r="O141" s="25">
        <v>0</v>
      </c>
      <c r="P141" s="25">
        <v>0</v>
      </c>
      <c r="Q141" s="25">
        <v>600</v>
      </c>
      <c r="R141" s="31">
        <f t="shared" si="50"/>
        <v>600</v>
      </c>
      <c r="S141" s="34">
        <v>0</v>
      </c>
      <c r="T141" s="35">
        <v>0</v>
      </c>
      <c r="U141" s="33">
        <f t="shared" si="52"/>
        <v>600</v>
      </c>
      <c r="V141" s="34">
        <v>800</v>
      </c>
      <c r="W141" s="34">
        <v>0</v>
      </c>
      <c r="X141" s="35">
        <v>0</v>
      </c>
      <c r="Y141" s="34">
        <v>0</v>
      </c>
      <c r="Z141" s="87">
        <f t="shared" si="47"/>
        <v>800</v>
      </c>
      <c r="AA141" s="87">
        <v>0</v>
      </c>
      <c r="AB141" s="87">
        <v>0</v>
      </c>
      <c r="AC141" s="27">
        <f t="shared" si="46"/>
        <v>800</v>
      </c>
      <c r="AD141" s="26">
        <v>-800</v>
      </c>
      <c r="AE141" s="26">
        <v>0</v>
      </c>
      <c r="AF141" s="26">
        <f t="shared" ref="AF141:AF148" si="53">SUM(AC141:AE141)</f>
        <v>0</v>
      </c>
      <c r="AG141" s="34">
        <v>0</v>
      </c>
      <c r="AH141" s="34">
        <v>0</v>
      </c>
      <c r="AI141" s="34">
        <f t="shared" si="51"/>
        <v>0</v>
      </c>
    </row>
    <row r="142" spans="1:35" ht="25.5" customHeight="1" x14ac:dyDescent="0.25">
      <c r="A142" s="20" t="s">
        <v>190</v>
      </c>
      <c r="B142" s="139" t="s">
        <v>191</v>
      </c>
      <c r="C142" s="22"/>
      <c r="D142" s="22"/>
      <c r="E142" s="23"/>
      <c r="F142" s="23"/>
      <c r="G142" s="23"/>
      <c r="H142" s="24"/>
      <c r="I142" s="25"/>
      <c r="J142" s="25"/>
      <c r="K142" s="25"/>
      <c r="L142" s="24"/>
      <c r="M142" s="24"/>
      <c r="N142" s="25"/>
      <c r="O142" s="25"/>
      <c r="P142" s="25"/>
      <c r="Q142" s="25"/>
      <c r="R142" s="31"/>
      <c r="S142" s="34"/>
      <c r="T142" s="35"/>
      <c r="U142" s="33"/>
      <c r="V142" s="34">
        <v>0</v>
      </c>
      <c r="W142" s="34"/>
      <c r="X142" s="35"/>
      <c r="Y142" s="34"/>
      <c r="Z142" s="87"/>
      <c r="AA142" s="87"/>
      <c r="AB142" s="87"/>
      <c r="AC142" s="27">
        <v>0</v>
      </c>
      <c r="AD142" s="26">
        <v>100</v>
      </c>
      <c r="AE142" s="26">
        <v>0</v>
      </c>
      <c r="AF142" s="26">
        <f t="shared" si="53"/>
        <v>100</v>
      </c>
      <c r="AG142" s="34">
        <v>0</v>
      </c>
      <c r="AH142" s="34">
        <v>0</v>
      </c>
      <c r="AI142" s="34">
        <f t="shared" si="51"/>
        <v>100</v>
      </c>
    </row>
    <row r="143" spans="1:35" ht="23.25" customHeight="1" x14ac:dyDescent="0.25">
      <c r="A143" s="20" t="s">
        <v>192</v>
      </c>
      <c r="B143" s="139" t="s">
        <v>90</v>
      </c>
      <c r="C143" s="22"/>
      <c r="D143" s="22"/>
      <c r="E143" s="23"/>
      <c r="F143" s="23"/>
      <c r="G143" s="23"/>
      <c r="H143" s="24"/>
      <c r="I143" s="25"/>
      <c r="J143" s="25"/>
      <c r="K143" s="25"/>
      <c r="L143" s="24"/>
      <c r="M143" s="24"/>
      <c r="N143" s="25"/>
      <c r="O143" s="25">
        <v>0</v>
      </c>
      <c r="P143" s="25"/>
      <c r="Q143" s="25"/>
      <c r="R143" s="31"/>
      <c r="S143" s="34"/>
      <c r="T143" s="35"/>
      <c r="U143" s="33">
        <v>0</v>
      </c>
      <c r="V143" s="34">
        <v>70</v>
      </c>
      <c r="W143" s="34">
        <v>0</v>
      </c>
      <c r="X143" s="35">
        <v>0</v>
      </c>
      <c r="Y143" s="34">
        <v>0</v>
      </c>
      <c r="Z143" s="87">
        <f t="shared" si="47"/>
        <v>70</v>
      </c>
      <c r="AA143" s="87">
        <v>0</v>
      </c>
      <c r="AB143" s="87">
        <v>0</v>
      </c>
      <c r="AC143" s="27">
        <f t="shared" si="46"/>
        <v>70</v>
      </c>
      <c r="AD143" s="26">
        <v>0</v>
      </c>
      <c r="AE143" s="26">
        <v>0</v>
      </c>
      <c r="AF143" s="26">
        <f t="shared" si="53"/>
        <v>70</v>
      </c>
      <c r="AG143" s="34">
        <v>0</v>
      </c>
      <c r="AH143" s="34">
        <v>0</v>
      </c>
      <c r="AI143" s="34">
        <f t="shared" si="51"/>
        <v>70</v>
      </c>
    </row>
    <row r="144" spans="1:35" ht="24.75" customHeight="1" x14ac:dyDescent="0.25">
      <c r="A144" s="20" t="s">
        <v>193</v>
      </c>
      <c r="B144" s="139" t="s">
        <v>90</v>
      </c>
      <c r="C144" s="22"/>
      <c r="D144" s="22"/>
      <c r="E144" s="23"/>
      <c r="F144" s="23"/>
      <c r="G144" s="23"/>
      <c r="H144" s="24"/>
      <c r="I144" s="25"/>
      <c r="J144" s="25"/>
      <c r="K144" s="25"/>
      <c r="L144" s="24"/>
      <c r="M144" s="24"/>
      <c r="N144" s="25"/>
      <c r="O144" s="25">
        <v>0</v>
      </c>
      <c r="P144" s="25">
        <v>0</v>
      </c>
      <c r="Q144" s="25">
        <v>50</v>
      </c>
      <c r="R144" s="31">
        <f>O144+P144+Q144</f>
        <v>50</v>
      </c>
      <c r="S144" s="34">
        <v>0</v>
      </c>
      <c r="T144" s="35">
        <v>0</v>
      </c>
      <c r="U144" s="33">
        <f t="shared" si="52"/>
        <v>50</v>
      </c>
      <c r="V144" s="34">
        <v>50</v>
      </c>
      <c r="W144" s="34">
        <v>0</v>
      </c>
      <c r="X144" s="35">
        <v>0</v>
      </c>
      <c r="Y144" s="34">
        <v>0</v>
      </c>
      <c r="Z144" s="87">
        <f t="shared" si="47"/>
        <v>50</v>
      </c>
      <c r="AA144" s="87">
        <v>0</v>
      </c>
      <c r="AB144" s="87">
        <v>0</v>
      </c>
      <c r="AC144" s="27">
        <f t="shared" si="46"/>
        <v>50</v>
      </c>
      <c r="AD144" s="26">
        <v>0</v>
      </c>
      <c r="AE144" s="26">
        <v>0</v>
      </c>
      <c r="AF144" s="26">
        <f t="shared" si="53"/>
        <v>50</v>
      </c>
      <c r="AG144" s="34">
        <v>0</v>
      </c>
      <c r="AH144" s="34">
        <v>0</v>
      </c>
      <c r="AI144" s="34">
        <f t="shared" si="51"/>
        <v>50</v>
      </c>
    </row>
    <row r="145" spans="1:35" ht="26.25" customHeight="1" x14ac:dyDescent="0.25">
      <c r="A145" s="20" t="s">
        <v>194</v>
      </c>
      <c r="B145" s="139" t="s">
        <v>67</v>
      </c>
      <c r="C145" s="22"/>
      <c r="D145" s="22"/>
      <c r="E145" s="23"/>
      <c r="F145" s="23"/>
      <c r="G145" s="23"/>
      <c r="H145" s="24"/>
      <c r="I145" s="25"/>
      <c r="J145" s="25"/>
      <c r="K145" s="25"/>
      <c r="L145" s="24"/>
      <c r="M145" s="24"/>
      <c r="N145" s="25"/>
      <c r="O145" s="25">
        <v>0</v>
      </c>
      <c r="P145" s="25">
        <v>0</v>
      </c>
      <c r="Q145" s="25">
        <v>200</v>
      </c>
      <c r="R145" s="31">
        <f>O145+P145+Q145</f>
        <v>200</v>
      </c>
      <c r="S145" s="32">
        <v>0</v>
      </c>
      <c r="T145" s="33">
        <v>0</v>
      </c>
      <c r="U145" s="33">
        <f t="shared" si="52"/>
        <v>200</v>
      </c>
      <c r="V145" s="34">
        <v>0</v>
      </c>
      <c r="W145" s="34">
        <f>200</f>
        <v>200</v>
      </c>
      <c r="X145" s="35">
        <v>0</v>
      </c>
      <c r="Y145" s="34">
        <v>0</v>
      </c>
      <c r="Z145" s="87">
        <f t="shared" si="47"/>
        <v>200</v>
      </c>
      <c r="AA145" s="87">
        <v>0</v>
      </c>
      <c r="AB145" s="87">
        <v>0</v>
      </c>
      <c r="AC145" s="27">
        <f t="shared" si="46"/>
        <v>200</v>
      </c>
      <c r="AD145" s="26">
        <v>0</v>
      </c>
      <c r="AE145" s="26">
        <v>0</v>
      </c>
      <c r="AF145" s="26">
        <f t="shared" si="53"/>
        <v>200</v>
      </c>
      <c r="AG145" s="34">
        <v>0</v>
      </c>
      <c r="AH145" s="34">
        <v>0</v>
      </c>
      <c r="AI145" s="34">
        <f t="shared" si="51"/>
        <v>200</v>
      </c>
    </row>
    <row r="146" spans="1:35" ht="25.5" customHeight="1" x14ac:dyDescent="0.25">
      <c r="A146" s="178" t="s">
        <v>195</v>
      </c>
      <c r="B146" s="139" t="s">
        <v>196</v>
      </c>
      <c r="C146" s="22"/>
      <c r="D146" s="22"/>
      <c r="E146" s="23"/>
      <c r="F146" s="23"/>
      <c r="G146" s="23"/>
      <c r="H146" s="24"/>
      <c r="I146" s="25"/>
      <c r="J146" s="25"/>
      <c r="K146" s="25"/>
      <c r="L146" s="24"/>
      <c r="M146" s="24"/>
      <c r="N146" s="25"/>
      <c r="O146" s="25">
        <v>0</v>
      </c>
      <c r="P146" s="25"/>
      <c r="Q146" s="25"/>
      <c r="R146" s="31"/>
      <c r="S146" s="32"/>
      <c r="T146" s="33"/>
      <c r="U146" s="33">
        <v>0</v>
      </c>
      <c r="V146" s="179">
        <v>600</v>
      </c>
      <c r="W146" s="34">
        <v>0</v>
      </c>
      <c r="X146" s="35">
        <v>0</v>
      </c>
      <c r="Y146" s="34">
        <v>0</v>
      </c>
      <c r="Z146" s="87">
        <f t="shared" si="47"/>
        <v>600</v>
      </c>
      <c r="AA146" s="87">
        <v>0</v>
      </c>
      <c r="AB146" s="87">
        <v>0</v>
      </c>
      <c r="AC146" s="27">
        <f t="shared" si="46"/>
        <v>600</v>
      </c>
      <c r="AD146" s="26">
        <v>0</v>
      </c>
      <c r="AE146" s="26">
        <v>0</v>
      </c>
      <c r="AF146" s="26">
        <f t="shared" si="53"/>
        <v>600</v>
      </c>
      <c r="AG146" s="34">
        <v>0</v>
      </c>
      <c r="AH146" s="34">
        <v>0</v>
      </c>
      <c r="AI146" s="34">
        <f t="shared" si="51"/>
        <v>600</v>
      </c>
    </row>
    <row r="147" spans="1:35" ht="25.5" customHeight="1" x14ac:dyDescent="0.25">
      <c r="A147" s="20" t="s">
        <v>197</v>
      </c>
      <c r="B147" s="139" t="s">
        <v>67</v>
      </c>
      <c r="C147" s="22"/>
      <c r="D147" s="22"/>
      <c r="E147" s="23"/>
      <c r="F147" s="23"/>
      <c r="G147" s="23"/>
      <c r="H147" s="24"/>
      <c r="I147" s="25"/>
      <c r="J147" s="25"/>
      <c r="K147" s="25"/>
      <c r="L147" s="24"/>
      <c r="M147" s="24"/>
      <c r="N147" s="25"/>
      <c r="O147" s="25">
        <v>0</v>
      </c>
      <c r="P147" s="25">
        <v>0</v>
      </c>
      <c r="Q147" s="25">
        <v>400</v>
      </c>
      <c r="R147" s="31">
        <f t="shared" ref="R147:R154" si="54">O147+P147+Q147</f>
        <v>400</v>
      </c>
      <c r="S147" s="32">
        <v>0</v>
      </c>
      <c r="T147" s="33">
        <v>0</v>
      </c>
      <c r="U147" s="33">
        <f t="shared" si="52"/>
        <v>400</v>
      </c>
      <c r="V147" s="34">
        <v>0</v>
      </c>
      <c r="W147" s="34">
        <f>400</f>
        <v>400</v>
      </c>
      <c r="X147" s="35">
        <v>0</v>
      </c>
      <c r="Y147" s="34">
        <v>0</v>
      </c>
      <c r="Z147" s="87">
        <f t="shared" si="47"/>
        <v>400</v>
      </c>
      <c r="AA147" s="87">
        <v>0</v>
      </c>
      <c r="AB147" s="87">
        <v>0</v>
      </c>
      <c r="AC147" s="27">
        <f t="shared" si="46"/>
        <v>400</v>
      </c>
      <c r="AD147" s="26">
        <v>0</v>
      </c>
      <c r="AE147" s="26">
        <v>0</v>
      </c>
      <c r="AF147" s="26">
        <f t="shared" si="53"/>
        <v>400</v>
      </c>
      <c r="AG147" s="34">
        <v>0</v>
      </c>
      <c r="AH147" s="34">
        <v>0</v>
      </c>
      <c r="AI147" s="34">
        <f t="shared" si="51"/>
        <v>400</v>
      </c>
    </row>
    <row r="148" spans="1:35" ht="16.5" customHeight="1" x14ac:dyDescent="0.25">
      <c r="A148" s="163" t="s">
        <v>198</v>
      </c>
      <c r="B148" s="176" t="s">
        <v>199</v>
      </c>
      <c r="C148" s="30">
        <v>1700</v>
      </c>
      <c r="D148" s="30">
        <v>1700</v>
      </c>
      <c r="E148" s="31">
        <v>0</v>
      </c>
      <c r="F148" s="31">
        <v>0</v>
      </c>
      <c r="G148" s="31">
        <f t="shared" si="43"/>
        <v>1700</v>
      </c>
      <c r="H148" s="32">
        <v>0</v>
      </c>
      <c r="I148" s="33">
        <v>0</v>
      </c>
      <c r="J148" s="33">
        <v>0</v>
      </c>
      <c r="K148" s="33">
        <f t="shared" si="40"/>
        <v>1700</v>
      </c>
      <c r="L148" s="32">
        <v>0</v>
      </c>
      <c r="M148" s="32">
        <v>0</v>
      </c>
      <c r="N148" s="33">
        <f t="shared" ref="N148:N166" si="55">K148+L148+M148</f>
        <v>1700</v>
      </c>
      <c r="O148" s="33">
        <v>1700</v>
      </c>
      <c r="P148" s="33">
        <v>0</v>
      </c>
      <c r="Q148" s="33">
        <v>0</v>
      </c>
      <c r="R148" s="31">
        <f t="shared" si="54"/>
        <v>1700</v>
      </c>
      <c r="S148" s="34">
        <v>0</v>
      </c>
      <c r="T148" s="35">
        <v>0</v>
      </c>
      <c r="U148" s="33">
        <f t="shared" si="52"/>
        <v>1700</v>
      </c>
      <c r="V148" s="34">
        <v>1700</v>
      </c>
      <c r="W148" s="34">
        <v>0</v>
      </c>
      <c r="X148" s="35">
        <v>0</v>
      </c>
      <c r="Y148" s="34">
        <v>0</v>
      </c>
      <c r="Z148" s="87">
        <f t="shared" si="47"/>
        <v>1700</v>
      </c>
      <c r="AA148" s="87">
        <v>0</v>
      </c>
      <c r="AB148" s="87">
        <v>0</v>
      </c>
      <c r="AC148" s="27">
        <f t="shared" si="46"/>
        <v>1700</v>
      </c>
      <c r="AD148" s="26">
        <v>0</v>
      </c>
      <c r="AE148" s="26">
        <v>0</v>
      </c>
      <c r="AF148" s="26">
        <f t="shared" si="53"/>
        <v>1700</v>
      </c>
      <c r="AG148" s="34">
        <v>0</v>
      </c>
      <c r="AH148" s="34">
        <v>0</v>
      </c>
      <c r="AI148" s="34">
        <f t="shared" si="51"/>
        <v>1700</v>
      </c>
    </row>
    <row r="149" spans="1:35" ht="25.5" customHeight="1" x14ac:dyDescent="0.25">
      <c r="A149" s="28" t="s">
        <v>200</v>
      </c>
      <c r="B149" s="162" t="s">
        <v>201</v>
      </c>
      <c r="C149" s="30">
        <v>50</v>
      </c>
      <c r="D149" s="30">
        <v>50</v>
      </c>
      <c r="E149" s="31">
        <v>0</v>
      </c>
      <c r="F149" s="31">
        <v>0</v>
      </c>
      <c r="G149" s="31">
        <f t="shared" si="43"/>
        <v>50</v>
      </c>
      <c r="H149" s="32">
        <v>0</v>
      </c>
      <c r="I149" s="33">
        <v>0</v>
      </c>
      <c r="J149" s="33">
        <v>0</v>
      </c>
      <c r="K149" s="33">
        <f t="shared" si="40"/>
        <v>50</v>
      </c>
      <c r="L149" s="32">
        <v>0</v>
      </c>
      <c r="M149" s="32">
        <v>0</v>
      </c>
      <c r="N149" s="33">
        <f t="shared" si="55"/>
        <v>50</v>
      </c>
      <c r="O149" s="33">
        <v>50</v>
      </c>
      <c r="P149" s="33">
        <v>0</v>
      </c>
      <c r="Q149" s="33">
        <v>0</v>
      </c>
      <c r="R149" s="31">
        <f t="shared" si="54"/>
        <v>50</v>
      </c>
      <c r="S149" s="32">
        <v>0</v>
      </c>
      <c r="T149" s="33">
        <v>0</v>
      </c>
      <c r="U149" s="33">
        <f t="shared" si="52"/>
        <v>50</v>
      </c>
      <c r="V149" s="34">
        <v>60</v>
      </c>
      <c r="W149" s="34">
        <v>0</v>
      </c>
      <c r="X149" s="35">
        <v>0</v>
      </c>
      <c r="Y149" s="34">
        <v>0</v>
      </c>
      <c r="Z149" s="87">
        <f t="shared" si="47"/>
        <v>60</v>
      </c>
      <c r="AA149" s="87">
        <v>0</v>
      </c>
      <c r="AB149" s="87">
        <v>0</v>
      </c>
      <c r="AC149" s="27">
        <f t="shared" si="46"/>
        <v>60</v>
      </c>
      <c r="AD149" s="26">
        <v>0</v>
      </c>
      <c r="AE149" s="26">
        <v>0</v>
      </c>
      <c r="AF149" s="26">
        <f>SUM(AC149:AE149)</f>
        <v>60</v>
      </c>
      <c r="AG149" s="34">
        <v>0</v>
      </c>
      <c r="AH149" s="34">
        <v>0</v>
      </c>
      <c r="AI149" s="34">
        <f t="shared" si="51"/>
        <v>60</v>
      </c>
    </row>
    <row r="150" spans="1:35" ht="16.5" customHeight="1" x14ac:dyDescent="0.25">
      <c r="A150" s="163" t="s">
        <v>202</v>
      </c>
      <c r="B150" s="176" t="s">
        <v>203</v>
      </c>
      <c r="C150" s="30">
        <v>1700</v>
      </c>
      <c r="D150" s="30">
        <v>1700</v>
      </c>
      <c r="E150" s="31">
        <v>0</v>
      </c>
      <c r="F150" s="31">
        <v>0</v>
      </c>
      <c r="G150" s="31">
        <f t="shared" si="43"/>
        <v>1700</v>
      </c>
      <c r="H150" s="32">
        <v>0</v>
      </c>
      <c r="I150" s="33">
        <v>0</v>
      </c>
      <c r="J150" s="33">
        <v>0</v>
      </c>
      <c r="K150" s="33">
        <f t="shared" si="40"/>
        <v>1700</v>
      </c>
      <c r="L150" s="32">
        <v>0</v>
      </c>
      <c r="M150" s="32">
        <v>0</v>
      </c>
      <c r="N150" s="33">
        <f t="shared" si="55"/>
        <v>1700</v>
      </c>
      <c r="O150" s="33">
        <v>1700</v>
      </c>
      <c r="P150" s="33">
        <v>0</v>
      </c>
      <c r="Q150" s="33">
        <v>0</v>
      </c>
      <c r="R150" s="31">
        <f t="shared" si="54"/>
        <v>1700</v>
      </c>
      <c r="S150" s="34">
        <v>0</v>
      </c>
      <c r="T150" s="35">
        <v>0</v>
      </c>
      <c r="U150" s="33">
        <f t="shared" si="52"/>
        <v>1700</v>
      </c>
      <c r="V150" s="34">
        <v>1700</v>
      </c>
      <c r="W150" s="34">
        <v>0</v>
      </c>
      <c r="X150" s="35">
        <v>0</v>
      </c>
      <c r="Y150" s="34">
        <v>0</v>
      </c>
      <c r="Z150" s="87">
        <f t="shared" si="47"/>
        <v>1700</v>
      </c>
      <c r="AA150" s="87">
        <v>0</v>
      </c>
      <c r="AB150" s="87">
        <v>0</v>
      </c>
      <c r="AC150" s="27">
        <f t="shared" si="46"/>
        <v>1700</v>
      </c>
      <c r="AD150" s="26">
        <v>0</v>
      </c>
      <c r="AE150" s="26">
        <v>0</v>
      </c>
      <c r="AF150" s="26">
        <f>SUM(AC150:AE150)</f>
        <v>1700</v>
      </c>
      <c r="AG150" s="34">
        <v>0</v>
      </c>
      <c r="AH150" s="34">
        <v>0</v>
      </c>
      <c r="AI150" s="34">
        <f t="shared" si="51"/>
        <v>1700</v>
      </c>
    </row>
    <row r="151" spans="1:35" ht="24.75" customHeight="1" x14ac:dyDescent="0.25">
      <c r="A151" s="20" t="s">
        <v>204</v>
      </c>
      <c r="B151" s="176" t="s">
        <v>74</v>
      </c>
      <c r="C151" s="22">
        <v>1700</v>
      </c>
      <c r="D151" s="22">
        <v>1700</v>
      </c>
      <c r="E151" s="23">
        <v>0</v>
      </c>
      <c r="F151" s="23">
        <v>0</v>
      </c>
      <c r="G151" s="23">
        <f t="shared" si="43"/>
        <v>1700</v>
      </c>
      <c r="H151" s="24">
        <v>0</v>
      </c>
      <c r="I151" s="25">
        <v>0</v>
      </c>
      <c r="J151" s="25">
        <v>0</v>
      </c>
      <c r="K151" s="25">
        <f t="shared" si="40"/>
        <v>1700</v>
      </c>
      <c r="L151" s="24">
        <v>0</v>
      </c>
      <c r="M151" s="24">
        <v>0</v>
      </c>
      <c r="N151" s="25">
        <f t="shared" si="55"/>
        <v>1700</v>
      </c>
      <c r="O151" s="25">
        <v>1700</v>
      </c>
      <c r="P151" s="25">
        <v>0</v>
      </c>
      <c r="Q151" s="25">
        <v>0</v>
      </c>
      <c r="R151" s="31">
        <f t="shared" si="54"/>
        <v>1700</v>
      </c>
      <c r="S151" s="34">
        <v>0</v>
      </c>
      <c r="T151" s="35">
        <v>0</v>
      </c>
      <c r="U151" s="33">
        <f t="shared" si="52"/>
        <v>1700</v>
      </c>
      <c r="V151" s="34">
        <v>1700</v>
      </c>
      <c r="W151" s="34">
        <v>0</v>
      </c>
      <c r="X151" s="35">
        <v>0</v>
      </c>
      <c r="Y151" s="34">
        <v>0</v>
      </c>
      <c r="Z151" s="87">
        <f t="shared" si="47"/>
        <v>1700</v>
      </c>
      <c r="AA151" s="87">
        <v>0</v>
      </c>
      <c r="AB151" s="87">
        <v>0</v>
      </c>
      <c r="AC151" s="27">
        <f t="shared" si="46"/>
        <v>1700</v>
      </c>
      <c r="AD151" s="26">
        <v>0</v>
      </c>
      <c r="AE151" s="26">
        <v>0</v>
      </c>
      <c r="AF151" s="26">
        <f>SUM(AC151:AE151)</f>
        <v>1700</v>
      </c>
      <c r="AG151" s="34">
        <v>0</v>
      </c>
      <c r="AH151" s="34">
        <v>0</v>
      </c>
      <c r="AI151" s="34">
        <f>SUM(AF151:AH151)</f>
        <v>1700</v>
      </c>
    </row>
    <row r="152" spans="1:35" x14ac:dyDescent="0.25">
      <c r="A152" s="163" t="s">
        <v>205</v>
      </c>
      <c r="B152" s="176" t="s">
        <v>191</v>
      </c>
      <c r="C152" s="30">
        <v>800</v>
      </c>
      <c r="D152" s="30">
        <v>800</v>
      </c>
      <c r="E152" s="31">
        <v>0</v>
      </c>
      <c r="F152" s="31">
        <v>0</v>
      </c>
      <c r="G152" s="31">
        <f t="shared" si="43"/>
        <v>800</v>
      </c>
      <c r="H152" s="32">
        <v>0</v>
      </c>
      <c r="I152" s="33">
        <v>0</v>
      </c>
      <c r="J152" s="33">
        <v>0</v>
      </c>
      <c r="K152" s="33">
        <f t="shared" si="40"/>
        <v>800</v>
      </c>
      <c r="L152" s="32">
        <v>0</v>
      </c>
      <c r="M152" s="32">
        <v>0</v>
      </c>
      <c r="N152" s="33">
        <f t="shared" si="55"/>
        <v>800</v>
      </c>
      <c r="O152" s="33">
        <v>800</v>
      </c>
      <c r="P152" s="33">
        <v>0</v>
      </c>
      <c r="Q152" s="33">
        <v>0</v>
      </c>
      <c r="R152" s="31">
        <f t="shared" si="54"/>
        <v>800</v>
      </c>
      <c r="S152" s="34">
        <v>0</v>
      </c>
      <c r="T152" s="35">
        <v>0</v>
      </c>
      <c r="U152" s="33">
        <f t="shared" si="52"/>
        <v>800</v>
      </c>
      <c r="V152" s="34">
        <v>800</v>
      </c>
      <c r="W152" s="34">
        <v>0</v>
      </c>
      <c r="X152" s="35">
        <v>0</v>
      </c>
      <c r="Y152" s="34">
        <v>0</v>
      </c>
      <c r="Z152" s="87">
        <f t="shared" si="47"/>
        <v>800</v>
      </c>
      <c r="AA152" s="87">
        <v>0</v>
      </c>
      <c r="AB152" s="87">
        <v>0</v>
      </c>
      <c r="AC152" s="27">
        <f t="shared" si="46"/>
        <v>800</v>
      </c>
      <c r="AD152" s="26">
        <v>0</v>
      </c>
      <c r="AE152" s="26">
        <v>0</v>
      </c>
      <c r="AF152" s="26">
        <f t="shared" ref="AF152:AF165" si="56">SUM(AC152:AE152)</f>
        <v>800</v>
      </c>
      <c r="AG152" s="34">
        <v>0</v>
      </c>
      <c r="AH152" s="34">
        <v>0</v>
      </c>
      <c r="AI152" s="34">
        <f t="shared" si="51"/>
        <v>800</v>
      </c>
    </row>
    <row r="153" spans="1:35" x14ac:dyDescent="0.25">
      <c r="A153" s="163" t="s">
        <v>206</v>
      </c>
      <c r="B153" s="176" t="s">
        <v>207</v>
      </c>
      <c r="C153" s="30">
        <v>300</v>
      </c>
      <c r="D153" s="30">
        <v>300</v>
      </c>
      <c r="E153" s="31">
        <v>0</v>
      </c>
      <c r="F153" s="31">
        <v>0</v>
      </c>
      <c r="G153" s="31">
        <f t="shared" si="43"/>
        <v>300</v>
      </c>
      <c r="H153" s="32">
        <v>0</v>
      </c>
      <c r="I153" s="33">
        <v>0</v>
      </c>
      <c r="J153" s="33">
        <v>0</v>
      </c>
      <c r="K153" s="33">
        <f>G153+H153+I153+J153</f>
        <v>300</v>
      </c>
      <c r="L153" s="32">
        <v>0</v>
      </c>
      <c r="M153" s="32">
        <v>0</v>
      </c>
      <c r="N153" s="33">
        <f t="shared" si="55"/>
        <v>300</v>
      </c>
      <c r="O153" s="33">
        <v>300</v>
      </c>
      <c r="P153" s="33">
        <v>0</v>
      </c>
      <c r="Q153" s="33">
        <v>0</v>
      </c>
      <c r="R153" s="31">
        <f t="shared" si="54"/>
        <v>300</v>
      </c>
      <c r="S153" s="34">
        <v>0</v>
      </c>
      <c r="T153" s="35">
        <v>0</v>
      </c>
      <c r="U153" s="33">
        <f t="shared" si="52"/>
        <v>300</v>
      </c>
      <c r="V153" s="34">
        <v>300</v>
      </c>
      <c r="W153" s="34">
        <f>V153-U153</f>
        <v>0</v>
      </c>
      <c r="X153" s="35">
        <v>0</v>
      </c>
      <c r="Y153" s="34">
        <v>0</v>
      </c>
      <c r="Z153" s="87">
        <f t="shared" si="47"/>
        <v>300</v>
      </c>
      <c r="AA153" s="87">
        <v>0</v>
      </c>
      <c r="AB153" s="87">
        <v>0</v>
      </c>
      <c r="AC153" s="27">
        <f t="shared" si="46"/>
        <v>300</v>
      </c>
      <c r="AD153" s="26">
        <v>-300</v>
      </c>
      <c r="AE153" s="26">
        <v>0</v>
      </c>
      <c r="AF153" s="26">
        <f t="shared" si="56"/>
        <v>0</v>
      </c>
      <c r="AG153" s="34">
        <v>0</v>
      </c>
      <c r="AH153" s="34">
        <v>0</v>
      </c>
      <c r="AI153" s="34">
        <f t="shared" si="51"/>
        <v>0</v>
      </c>
    </row>
    <row r="154" spans="1:35" x14ac:dyDescent="0.25">
      <c r="A154" s="163" t="s">
        <v>208</v>
      </c>
      <c r="B154" s="162" t="s">
        <v>63</v>
      </c>
      <c r="C154" s="30">
        <v>500</v>
      </c>
      <c r="D154" s="30">
        <v>500</v>
      </c>
      <c r="E154" s="31">
        <v>0</v>
      </c>
      <c r="F154" s="31">
        <v>0</v>
      </c>
      <c r="G154" s="31">
        <f>D154+E154+F154</f>
        <v>500</v>
      </c>
      <c r="H154" s="32">
        <v>0</v>
      </c>
      <c r="I154" s="33">
        <v>0</v>
      </c>
      <c r="J154" s="33">
        <v>0</v>
      </c>
      <c r="K154" s="33">
        <f>G154+H154+I154+J154</f>
        <v>500</v>
      </c>
      <c r="L154" s="32">
        <v>0</v>
      </c>
      <c r="M154" s="32">
        <v>0</v>
      </c>
      <c r="N154" s="33">
        <f t="shared" si="55"/>
        <v>500</v>
      </c>
      <c r="O154" s="33">
        <v>500</v>
      </c>
      <c r="P154" s="33">
        <v>0</v>
      </c>
      <c r="Q154" s="33">
        <v>0</v>
      </c>
      <c r="R154" s="31">
        <f t="shared" si="54"/>
        <v>500</v>
      </c>
      <c r="S154" s="34">
        <v>0</v>
      </c>
      <c r="T154" s="35">
        <v>0</v>
      </c>
      <c r="U154" s="33">
        <f t="shared" si="52"/>
        <v>500</v>
      </c>
      <c r="V154" s="34">
        <v>500</v>
      </c>
      <c r="W154" s="34">
        <f>V154-U154</f>
        <v>0</v>
      </c>
      <c r="X154" s="35">
        <v>0</v>
      </c>
      <c r="Y154" s="34">
        <v>0</v>
      </c>
      <c r="Z154" s="87">
        <f t="shared" si="47"/>
        <v>500</v>
      </c>
      <c r="AA154" s="87">
        <v>0</v>
      </c>
      <c r="AB154" s="87">
        <v>0</v>
      </c>
      <c r="AC154" s="27">
        <f t="shared" si="46"/>
        <v>500</v>
      </c>
      <c r="AD154" s="26">
        <v>0</v>
      </c>
      <c r="AE154" s="26">
        <v>0</v>
      </c>
      <c r="AF154" s="26">
        <f t="shared" si="56"/>
        <v>500</v>
      </c>
      <c r="AG154" s="34">
        <f>-500</f>
        <v>-500</v>
      </c>
      <c r="AH154" s="34">
        <v>0</v>
      </c>
      <c r="AI154" s="34">
        <f t="shared" si="51"/>
        <v>0</v>
      </c>
    </row>
    <row r="155" spans="1:35" x14ac:dyDescent="0.25">
      <c r="A155" s="163" t="s">
        <v>209</v>
      </c>
      <c r="B155" s="162" t="s">
        <v>210</v>
      </c>
      <c r="C155" s="30"/>
      <c r="D155" s="30"/>
      <c r="E155" s="31"/>
      <c r="F155" s="31"/>
      <c r="G155" s="31"/>
      <c r="H155" s="32"/>
      <c r="I155" s="33"/>
      <c r="J155" s="33"/>
      <c r="K155" s="33"/>
      <c r="L155" s="32"/>
      <c r="M155" s="32"/>
      <c r="N155" s="33"/>
      <c r="O155" s="33"/>
      <c r="P155" s="33"/>
      <c r="Q155" s="33"/>
      <c r="R155" s="31"/>
      <c r="S155" s="34"/>
      <c r="T155" s="35"/>
      <c r="U155" s="33"/>
      <c r="V155" s="34">
        <v>0</v>
      </c>
      <c r="W155" s="34"/>
      <c r="X155" s="35"/>
      <c r="Y155" s="34"/>
      <c r="Z155" s="87"/>
      <c r="AA155" s="87"/>
      <c r="AB155" s="87"/>
      <c r="AC155" s="27"/>
      <c r="AD155" s="26"/>
      <c r="AE155" s="26"/>
      <c r="AF155" s="26">
        <v>0</v>
      </c>
      <c r="AG155" s="34">
        <f>500</f>
        <v>500</v>
      </c>
      <c r="AH155" s="34">
        <v>0</v>
      </c>
      <c r="AI155" s="34">
        <f t="shared" si="51"/>
        <v>500</v>
      </c>
    </row>
    <row r="156" spans="1:35" x14ac:dyDescent="0.25">
      <c r="A156" s="163" t="s">
        <v>211</v>
      </c>
      <c r="B156" s="162" t="s">
        <v>88</v>
      </c>
      <c r="C156" s="30"/>
      <c r="D156" s="30"/>
      <c r="E156" s="31"/>
      <c r="F156" s="31"/>
      <c r="G156" s="31"/>
      <c r="H156" s="32"/>
      <c r="I156" s="33"/>
      <c r="J156" s="33"/>
      <c r="K156" s="33"/>
      <c r="L156" s="32"/>
      <c r="M156" s="32"/>
      <c r="N156" s="33"/>
      <c r="O156" s="33"/>
      <c r="P156" s="33"/>
      <c r="Q156" s="33"/>
      <c r="R156" s="31"/>
      <c r="S156" s="34"/>
      <c r="T156" s="35"/>
      <c r="U156" s="33"/>
      <c r="V156" s="34">
        <v>0</v>
      </c>
      <c r="W156" s="34">
        <f>470</f>
        <v>470</v>
      </c>
      <c r="X156" s="35">
        <v>0</v>
      </c>
      <c r="Y156" s="34">
        <v>0</v>
      </c>
      <c r="Z156" s="87">
        <f t="shared" si="47"/>
        <v>470</v>
      </c>
      <c r="AA156" s="87">
        <v>0</v>
      </c>
      <c r="AB156" s="87">
        <v>0</v>
      </c>
      <c r="AC156" s="27">
        <f t="shared" ref="AC156:AC237" si="57">Z156+AA156+AB156</f>
        <v>470</v>
      </c>
      <c r="AD156" s="26">
        <v>0</v>
      </c>
      <c r="AE156" s="26">
        <v>0</v>
      </c>
      <c r="AF156" s="26">
        <f t="shared" si="56"/>
        <v>470</v>
      </c>
      <c r="AG156" s="34">
        <v>0</v>
      </c>
      <c r="AH156" s="34">
        <v>0</v>
      </c>
      <c r="AI156" s="34">
        <f t="shared" si="51"/>
        <v>470</v>
      </c>
    </row>
    <row r="157" spans="1:35" x14ac:dyDescent="0.25">
      <c r="A157" s="163" t="s">
        <v>212</v>
      </c>
      <c r="B157" s="176" t="s">
        <v>207</v>
      </c>
      <c r="C157" s="30"/>
      <c r="D157" s="30"/>
      <c r="E157" s="31"/>
      <c r="F157" s="31"/>
      <c r="G157" s="31"/>
      <c r="H157" s="32"/>
      <c r="I157" s="33"/>
      <c r="J157" s="33"/>
      <c r="K157" s="33"/>
      <c r="L157" s="32"/>
      <c r="M157" s="32"/>
      <c r="N157" s="33"/>
      <c r="O157" s="33">
        <v>0</v>
      </c>
      <c r="P157" s="33"/>
      <c r="Q157" s="33"/>
      <c r="R157" s="31"/>
      <c r="S157" s="34"/>
      <c r="T157" s="35"/>
      <c r="U157" s="33">
        <v>0</v>
      </c>
      <c r="V157" s="34">
        <v>50</v>
      </c>
      <c r="W157" s="34">
        <v>0</v>
      </c>
      <c r="X157" s="35">
        <v>0</v>
      </c>
      <c r="Y157" s="34">
        <v>0</v>
      </c>
      <c r="Z157" s="87">
        <f t="shared" si="47"/>
        <v>50</v>
      </c>
      <c r="AA157" s="87">
        <v>0</v>
      </c>
      <c r="AB157" s="87">
        <v>0</v>
      </c>
      <c r="AC157" s="27">
        <f t="shared" si="57"/>
        <v>50</v>
      </c>
      <c r="AD157" s="26">
        <v>0</v>
      </c>
      <c r="AE157" s="26">
        <v>0</v>
      </c>
      <c r="AF157" s="26">
        <f t="shared" si="56"/>
        <v>50</v>
      </c>
      <c r="AG157" s="34">
        <v>0</v>
      </c>
      <c r="AH157" s="34">
        <v>0</v>
      </c>
      <c r="AI157" s="34">
        <f t="shared" si="51"/>
        <v>50</v>
      </c>
    </row>
    <row r="158" spans="1:35" ht="15.75" customHeight="1" x14ac:dyDescent="0.25">
      <c r="A158" s="163" t="s">
        <v>213</v>
      </c>
      <c r="B158" s="176" t="s">
        <v>88</v>
      </c>
      <c r="C158" s="30">
        <v>1200</v>
      </c>
      <c r="D158" s="30">
        <v>1200</v>
      </c>
      <c r="E158" s="31">
        <v>0</v>
      </c>
      <c r="F158" s="31">
        <v>0</v>
      </c>
      <c r="G158" s="31">
        <f>D158+E158+F158</f>
        <v>1200</v>
      </c>
      <c r="H158" s="32">
        <v>0</v>
      </c>
      <c r="I158" s="33">
        <v>0</v>
      </c>
      <c r="J158" s="33">
        <v>0</v>
      </c>
      <c r="K158" s="33">
        <f>G158+H158+I158+J158</f>
        <v>1200</v>
      </c>
      <c r="L158" s="32">
        <v>0</v>
      </c>
      <c r="M158" s="32">
        <v>0</v>
      </c>
      <c r="N158" s="33">
        <f t="shared" si="55"/>
        <v>1200</v>
      </c>
      <c r="O158" s="33">
        <v>1200</v>
      </c>
      <c r="P158" s="33">
        <v>0</v>
      </c>
      <c r="Q158" s="33">
        <v>0</v>
      </c>
      <c r="R158" s="31">
        <f>O158+P158+Q158</f>
        <v>1200</v>
      </c>
      <c r="S158" s="34">
        <v>0</v>
      </c>
      <c r="T158" s="35">
        <v>0</v>
      </c>
      <c r="U158" s="33">
        <f t="shared" si="52"/>
        <v>1200</v>
      </c>
      <c r="V158" s="34">
        <v>1200</v>
      </c>
      <c r="W158" s="34">
        <v>0</v>
      </c>
      <c r="X158" s="35">
        <v>0</v>
      </c>
      <c r="Y158" s="34">
        <v>0</v>
      </c>
      <c r="Z158" s="87">
        <f t="shared" si="47"/>
        <v>1200</v>
      </c>
      <c r="AA158" s="87">
        <v>0</v>
      </c>
      <c r="AB158" s="87">
        <v>0</v>
      </c>
      <c r="AC158" s="27">
        <f t="shared" si="57"/>
        <v>1200</v>
      </c>
      <c r="AD158" s="26">
        <v>0</v>
      </c>
      <c r="AE158" s="26">
        <v>0</v>
      </c>
      <c r="AF158" s="26">
        <f t="shared" si="56"/>
        <v>1200</v>
      </c>
      <c r="AG158" s="34">
        <v>0</v>
      </c>
      <c r="AH158" s="34">
        <v>0</v>
      </c>
      <c r="AI158" s="34">
        <f t="shared" si="51"/>
        <v>1200</v>
      </c>
    </row>
    <row r="159" spans="1:35" ht="15.75" customHeight="1" x14ac:dyDescent="0.25">
      <c r="A159" s="28" t="s">
        <v>214</v>
      </c>
      <c r="B159" s="176" t="s">
        <v>210</v>
      </c>
      <c r="C159" s="30"/>
      <c r="D159" s="30"/>
      <c r="E159" s="31"/>
      <c r="F159" s="31"/>
      <c r="G159" s="31"/>
      <c r="H159" s="32"/>
      <c r="I159" s="33"/>
      <c r="J159" s="33"/>
      <c r="K159" s="33"/>
      <c r="L159" s="32"/>
      <c r="M159" s="32"/>
      <c r="N159" s="33"/>
      <c r="O159" s="33">
        <v>0</v>
      </c>
      <c r="P159" s="33"/>
      <c r="Q159" s="33"/>
      <c r="R159" s="31"/>
      <c r="S159" s="32"/>
      <c r="T159" s="33"/>
      <c r="U159" s="33">
        <v>0</v>
      </c>
      <c r="V159" s="34">
        <v>650</v>
      </c>
      <c r="W159" s="34">
        <v>0</v>
      </c>
      <c r="X159" s="35">
        <v>0</v>
      </c>
      <c r="Y159" s="34">
        <v>0</v>
      </c>
      <c r="Z159" s="87">
        <f t="shared" si="47"/>
        <v>650</v>
      </c>
      <c r="AA159" s="87">
        <v>0</v>
      </c>
      <c r="AB159" s="87">
        <v>0</v>
      </c>
      <c r="AC159" s="27">
        <f t="shared" si="57"/>
        <v>650</v>
      </c>
      <c r="AD159" s="26">
        <v>-650</v>
      </c>
      <c r="AE159" s="26">
        <v>0</v>
      </c>
      <c r="AF159" s="26">
        <f t="shared" si="56"/>
        <v>0</v>
      </c>
      <c r="AG159" s="34">
        <v>0</v>
      </c>
      <c r="AH159" s="34">
        <v>0</v>
      </c>
      <c r="AI159" s="34">
        <f t="shared" si="51"/>
        <v>0</v>
      </c>
    </row>
    <row r="160" spans="1:35" ht="24.75" customHeight="1" x14ac:dyDescent="0.25">
      <c r="A160" s="28" t="s">
        <v>215</v>
      </c>
      <c r="B160" s="162" t="s">
        <v>210</v>
      </c>
      <c r="C160" s="30"/>
      <c r="D160" s="30"/>
      <c r="E160" s="31"/>
      <c r="F160" s="31"/>
      <c r="G160" s="31"/>
      <c r="H160" s="32"/>
      <c r="I160" s="33"/>
      <c r="J160" s="33"/>
      <c r="K160" s="33"/>
      <c r="L160" s="32"/>
      <c r="M160" s="32"/>
      <c r="N160" s="33"/>
      <c r="O160" s="33"/>
      <c r="P160" s="33"/>
      <c r="Q160" s="33"/>
      <c r="R160" s="31"/>
      <c r="S160" s="32"/>
      <c r="T160" s="33"/>
      <c r="U160" s="33"/>
      <c r="V160" s="34">
        <v>0</v>
      </c>
      <c r="W160" s="34"/>
      <c r="X160" s="35"/>
      <c r="Y160" s="34"/>
      <c r="Z160" s="87"/>
      <c r="AA160" s="87"/>
      <c r="AB160" s="87"/>
      <c r="AC160" s="27">
        <v>0</v>
      </c>
      <c r="AD160" s="26">
        <v>100</v>
      </c>
      <c r="AE160" s="26">
        <v>0</v>
      </c>
      <c r="AF160" s="26">
        <f t="shared" si="56"/>
        <v>100</v>
      </c>
      <c r="AG160" s="34">
        <v>0</v>
      </c>
      <c r="AH160" s="34">
        <v>0</v>
      </c>
      <c r="AI160" s="34">
        <f t="shared" si="51"/>
        <v>100</v>
      </c>
    </row>
    <row r="161" spans="1:35" ht="16.5" customHeight="1" x14ac:dyDescent="0.25">
      <c r="A161" s="28" t="s">
        <v>216</v>
      </c>
      <c r="B161" s="176" t="s">
        <v>90</v>
      </c>
      <c r="C161" s="30"/>
      <c r="D161" s="30"/>
      <c r="E161" s="31"/>
      <c r="F161" s="31"/>
      <c r="G161" s="31"/>
      <c r="H161" s="32"/>
      <c r="I161" s="33"/>
      <c r="J161" s="33"/>
      <c r="K161" s="33"/>
      <c r="L161" s="32"/>
      <c r="M161" s="32"/>
      <c r="N161" s="33"/>
      <c r="O161" s="33"/>
      <c r="P161" s="33"/>
      <c r="Q161" s="33"/>
      <c r="R161" s="31"/>
      <c r="S161" s="32"/>
      <c r="T161" s="33"/>
      <c r="U161" s="33"/>
      <c r="V161" s="34">
        <v>0</v>
      </c>
      <c r="W161" s="34">
        <f>20</f>
        <v>20</v>
      </c>
      <c r="X161" s="35">
        <v>0</v>
      </c>
      <c r="Y161" s="34">
        <v>0</v>
      </c>
      <c r="Z161" s="87">
        <f t="shared" si="47"/>
        <v>20</v>
      </c>
      <c r="AA161" s="87">
        <v>0</v>
      </c>
      <c r="AB161" s="87">
        <v>0</v>
      </c>
      <c r="AC161" s="27">
        <f t="shared" si="57"/>
        <v>20</v>
      </c>
      <c r="AD161" s="26">
        <v>0</v>
      </c>
      <c r="AE161" s="26">
        <v>0</v>
      </c>
      <c r="AF161" s="26">
        <f t="shared" si="56"/>
        <v>20</v>
      </c>
      <c r="AG161" s="34">
        <v>0</v>
      </c>
      <c r="AH161" s="34">
        <v>0</v>
      </c>
      <c r="AI161" s="34">
        <f t="shared" si="51"/>
        <v>20</v>
      </c>
    </row>
    <row r="162" spans="1:35" ht="27" customHeight="1" x14ac:dyDescent="0.25">
      <c r="A162" s="28" t="s">
        <v>217</v>
      </c>
      <c r="B162" s="162" t="s">
        <v>218</v>
      </c>
      <c r="C162" s="30"/>
      <c r="D162" s="30"/>
      <c r="E162" s="31"/>
      <c r="F162" s="31"/>
      <c r="G162" s="31"/>
      <c r="H162" s="32"/>
      <c r="I162" s="33"/>
      <c r="J162" s="33"/>
      <c r="K162" s="33"/>
      <c r="L162" s="32"/>
      <c r="M162" s="32"/>
      <c r="N162" s="33"/>
      <c r="O162" s="33">
        <v>0</v>
      </c>
      <c r="P162" s="33"/>
      <c r="Q162" s="33"/>
      <c r="R162" s="31"/>
      <c r="S162" s="32"/>
      <c r="T162" s="33"/>
      <c r="U162" s="33">
        <v>0</v>
      </c>
      <c r="V162" s="34">
        <v>850</v>
      </c>
      <c r="W162" s="34">
        <v>0</v>
      </c>
      <c r="X162" s="35">
        <v>0</v>
      </c>
      <c r="Y162" s="34">
        <v>0</v>
      </c>
      <c r="Z162" s="87">
        <f t="shared" si="47"/>
        <v>850</v>
      </c>
      <c r="AA162" s="87">
        <v>0</v>
      </c>
      <c r="AB162" s="87">
        <v>0</v>
      </c>
      <c r="AC162" s="27">
        <f t="shared" si="57"/>
        <v>850</v>
      </c>
      <c r="AD162" s="26">
        <v>650</v>
      </c>
      <c r="AE162" s="26">
        <v>0</v>
      </c>
      <c r="AF162" s="26">
        <f t="shared" si="56"/>
        <v>1500</v>
      </c>
      <c r="AG162" s="34">
        <v>0</v>
      </c>
      <c r="AH162" s="34">
        <v>0</v>
      </c>
      <c r="AI162" s="34">
        <f>SUM(AF162:AH162)</f>
        <v>1500</v>
      </c>
    </row>
    <row r="163" spans="1:35" ht="26.25" customHeight="1" x14ac:dyDescent="0.25">
      <c r="A163" s="28" t="s">
        <v>219</v>
      </c>
      <c r="B163" s="162" t="s">
        <v>88</v>
      </c>
      <c r="C163" s="30"/>
      <c r="D163" s="30">
        <v>0</v>
      </c>
      <c r="E163" s="31"/>
      <c r="F163" s="31"/>
      <c r="G163" s="31"/>
      <c r="H163" s="32"/>
      <c r="I163" s="33"/>
      <c r="J163" s="33"/>
      <c r="K163" s="33"/>
      <c r="L163" s="32"/>
      <c r="M163" s="32"/>
      <c r="N163" s="33">
        <v>0</v>
      </c>
      <c r="O163" s="33">
        <v>100</v>
      </c>
      <c r="P163" s="33">
        <v>0</v>
      </c>
      <c r="Q163" s="33">
        <v>0</v>
      </c>
      <c r="R163" s="31">
        <f>O163+P163+Q163</f>
        <v>100</v>
      </c>
      <c r="S163" s="32">
        <v>0</v>
      </c>
      <c r="T163" s="33">
        <v>0</v>
      </c>
      <c r="U163" s="33">
        <f>SUM(R163:T163)</f>
        <v>100</v>
      </c>
      <c r="V163" s="34">
        <v>200</v>
      </c>
      <c r="W163" s="34">
        <v>0</v>
      </c>
      <c r="X163" s="35">
        <v>0</v>
      </c>
      <c r="Y163" s="34">
        <v>0</v>
      </c>
      <c r="Z163" s="87">
        <f t="shared" si="47"/>
        <v>200</v>
      </c>
      <c r="AA163" s="87">
        <v>0</v>
      </c>
      <c r="AB163" s="87">
        <v>0</v>
      </c>
      <c r="AC163" s="27">
        <f t="shared" si="57"/>
        <v>200</v>
      </c>
      <c r="AD163" s="26">
        <v>0</v>
      </c>
      <c r="AE163" s="26">
        <v>0</v>
      </c>
      <c r="AF163" s="26">
        <f t="shared" si="56"/>
        <v>200</v>
      </c>
      <c r="AG163" s="34">
        <v>0</v>
      </c>
      <c r="AH163" s="34">
        <v>0</v>
      </c>
      <c r="AI163" s="34">
        <f>SUM(AF163:AH163)</f>
        <v>200</v>
      </c>
    </row>
    <row r="164" spans="1:35" ht="25.5" customHeight="1" x14ac:dyDescent="0.25">
      <c r="A164" s="28" t="s">
        <v>220</v>
      </c>
      <c r="B164" s="162" t="s">
        <v>187</v>
      </c>
      <c r="C164" s="30"/>
      <c r="D164" s="30"/>
      <c r="E164" s="31"/>
      <c r="F164" s="31"/>
      <c r="G164" s="31"/>
      <c r="H164" s="32"/>
      <c r="I164" s="33"/>
      <c r="J164" s="33"/>
      <c r="K164" s="33"/>
      <c r="L164" s="32"/>
      <c r="M164" s="32"/>
      <c r="N164" s="33"/>
      <c r="O164" s="33"/>
      <c r="P164" s="33"/>
      <c r="Q164" s="33"/>
      <c r="R164" s="31"/>
      <c r="S164" s="32"/>
      <c r="T164" s="33"/>
      <c r="U164" s="33"/>
      <c r="V164" s="34">
        <v>0</v>
      </c>
      <c r="W164" s="34"/>
      <c r="X164" s="35"/>
      <c r="Y164" s="34"/>
      <c r="Z164" s="87"/>
      <c r="AA164" s="87"/>
      <c r="AB164" s="87"/>
      <c r="AC164" s="27">
        <v>0</v>
      </c>
      <c r="AD164" s="26">
        <v>75</v>
      </c>
      <c r="AE164" s="26">
        <v>0</v>
      </c>
      <c r="AF164" s="26">
        <f t="shared" si="56"/>
        <v>75</v>
      </c>
      <c r="AG164" s="34">
        <v>0</v>
      </c>
      <c r="AH164" s="34">
        <v>0</v>
      </c>
      <c r="AI164" s="34">
        <f t="shared" si="51"/>
        <v>75</v>
      </c>
    </row>
    <row r="165" spans="1:35" ht="16.5" customHeight="1" x14ac:dyDescent="0.25">
      <c r="A165" s="28" t="s">
        <v>221</v>
      </c>
      <c r="B165" s="176" t="s">
        <v>88</v>
      </c>
      <c r="C165" s="30"/>
      <c r="D165" s="30"/>
      <c r="E165" s="31"/>
      <c r="F165" s="31"/>
      <c r="G165" s="31"/>
      <c r="H165" s="32"/>
      <c r="I165" s="33"/>
      <c r="J165" s="33"/>
      <c r="K165" s="33"/>
      <c r="L165" s="32"/>
      <c r="M165" s="32"/>
      <c r="N165" s="33"/>
      <c r="O165" s="33">
        <v>0</v>
      </c>
      <c r="P165" s="33"/>
      <c r="Q165" s="33"/>
      <c r="R165" s="31"/>
      <c r="S165" s="32"/>
      <c r="T165" s="33"/>
      <c r="U165" s="33">
        <v>0</v>
      </c>
      <c r="V165" s="34">
        <v>100</v>
      </c>
      <c r="W165" s="34">
        <v>0</v>
      </c>
      <c r="X165" s="35">
        <v>0</v>
      </c>
      <c r="Y165" s="34">
        <v>0</v>
      </c>
      <c r="Z165" s="87">
        <f t="shared" ref="Z165:AB170" si="58">SUM(V165:Y165)</f>
        <v>100</v>
      </c>
      <c r="AA165" s="87">
        <v>0</v>
      </c>
      <c r="AB165" s="87">
        <v>0</v>
      </c>
      <c r="AC165" s="27">
        <f t="shared" si="57"/>
        <v>100</v>
      </c>
      <c r="AD165" s="26">
        <v>0</v>
      </c>
      <c r="AE165" s="26">
        <v>0</v>
      </c>
      <c r="AF165" s="26">
        <f t="shared" si="56"/>
        <v>100</v>
      </c>
      <c r="AG165" s="34">
        <v>0</v>
      </c>
      <c r="AH165" s="34">
        <v>0</v>
      </c>
      <c r="AI165" s="34">
        <f t="shared" si="51"/>
        <v>100</v>
      </c>
    </row>
    <row r="166" spans="1:35" ht="15" customHeight="1" thickBot="1" x14ac:dyDescent="0.3">
      <c r="A166" s="164" t="s">
        <v>222</v>
      </c>
      <c r="B166" s="180"/>
      <c r="C166" s="38">
        <v>9702.01</v>
      </c>
      <c r="D166" s="38">
        <f>21246-840-626-3220</f>
        <v>16560</v>
      </c>
      <c r="E166" s="39">
        <v>150</v>
      </c>
      <c r="F166" s="38">
        <f>-194.87-259-222-2400-731+205.5+121</f>
        <v>-3480.37</v>
      </c>
      <c r="G166" s="39">
        <f>D166+E166+F166-335</f>
        <v>12894.630000000001</v>
      </c>
      <c r="H166" s="41">
        <v>-3198.45</v>
      </c>
      <c r="I166" s="42">
        <v>0</v>
      </c>
      <c r="J166" s="42">
        <v>-250</v>
      </c>
      <c r="K166" s="42">
        <f>G166+H166+I166+J166</f>
        <v>9446.18</v>
      </c>
      <c r="L166" s="41">
        <v>27.86</v>
      </c>
      <c r="M166" s="41">
        <v>-751.5</v>
      </c>
      <c r="N166" s="42">
        <f t="shared" si="55"/>
        <v>8722.5400000000009</v>
      </c>
      <c r="O166" s="42">
        <v>14075.5</v>
      </c>
      <c r="P166" s="42">
        <f>-250+32.12-70+5.62</f>
        <v>-282.26</v>
      </c>
      <c r="Q166" s="42">
        <v>-1116.42</v>
      </c>
      <c r="R166" s="39">
        <f>O166+P166+Q166-50-100+75.02+165.41</f>
        <v>12767.25</v>
      </c>
      <c r="S166" s="44">
        <v>-4837.82</v>
      </c>
      <c r="T166" s="45">
        <f>55+0</f>
        <v>55</v>
      </c>
      <c r="U166" s="45">
        <f>SUM(R166:T166)</f>
        <v>7984.43</v>
      </c>
      <c r="V166" s="44">
        <v>14052</v>
      </c>
      <c r="W166" s="44">
        <f>56.21-4314</f>
        <v>-4257.79</v>
      </c>
      <c r="X166" s="45">
        <v>0</v>
      </c>
      <c r="Y166" s="44">
        <f>32.57</f>
        <v>32.57</v>
      </c>
      <c r="Z166" s="181">
        <f>SUM(V166:Y166)</f>
        <v>9826.7799999999988</v>
      </c>
      <c r="AA166" s="181">
        <f>-1174.1</f>
        <v>-1174.0999999999999</v>
      </c>
      <c r="AB166" s="181">
        <f>-30+695.51</f>
        <v>665.51</v>
      </c>
      <c r="AC166" s="45">
        <f t="shared" si="57"/>
        <v>9318.1899999999987</v>
      </c>
      <c r="AD166" s="44">
        <v>-4727.8999999999996</v>
      </c>
      <c r="AE166" s="44">
        <v>0</v>
      </c>
      <c r="AF166" s="44">
        <f>SUM(AC166:AE166)</f>
        <v>4590.2899999999991</v>
      </c>
      <c r="AG166" s="44">
        <f>-20-552-104</f>
        <v>-676</v>
      </c>
      <c r="AH166" s="44">
        <v>0</v>
      </c>
      <c r="AI166" s="34">
        <f>SUM(AF166:AH166)</f>
        <v>3914.2899999999991</v>
      </c>
    </row>
    <row r="167" spans="1:35" ht="15.75" thickBot="1" x14ac:dyDescent="0.3">
      <c r="A167" s="165" t="s">
        <v>223</v>
      </c>
      <c r="B167" s="155"/>
      <c r="C167" s="125" t="e">
        <f>C169+C170+C171+#REF!+#REF!+C175+#REF!+C178</f>
        <v>#REF!</v>
      </c>
      <c r="D167" s="125" t="e">
        <f>D169+D170+D171+#REF!+#REF!+D175+D178</f>
        <v>#REF!</v>
      </c>
      <c r="E167" s="125" t="e">
        <f>E169+E170+E171+#REF!+#REF!+E175+E178</f>
        <v>#REF!</v>
      </c>
      <c r="F167" s="125" t="e">
        <f>F169+F170+F171+#REF!+#REF!+F175+F178</f>
        <v>#REF!</v>
      </c>
      <c r="G167" s="125" t="e">
        <f>G169+G170+G171+#REF!+#REF!+G175+G178</f>
        <v>#REF!</v>
      </c>
      <c r="H167" s="125" t="e">
        <f>H169+H170+H171+#REF!+#REF!+H175+H178</f>
        <v>#REF!</v>
      </c>
      <c r="I167" s="125" t="e">
        <f>I169+I170+I171+#REF!+#REF!+I175+I178</f>
        <v>#REF!</v>
      </c>
      <c r="J167" s="125" t="e">
        <f>J169+J170+J171+#REF!+#REF!+J175+J178</f>
        <v>#REF!</v>
      </c>
      <c r="K167" s="126" t="e">
        <f>K169+K170+K171+#REF!+#REF!+K175+K178</f>
        <v>#REF!</v>
      </c>
      <c r="L167" s="159" t="e">
        <f>L169+L170+L171+#REF!+#REF!+L175+L178</f>
        <v>#REF!</v>
      </c>
      <c r="M167" s="159" t="e">
        <f>M169+M170+M171+#REF!+#REF!+M175+M178</f>
        <v>#REF!</v>
      </c>
      <c r="N167" s="156" t="e">
        <f>N169+N170+N171+#REF!+#REF!+N175+N178</f>
        <v>#REF!</v>
      </c>
      <c r="O167" s="156">
        <f>SUM(O169:O178)</f>
        <v>252453</v>
      </c>
      <c r="P167" s="156" t="e">
        <f>P169+P170+P171+#REF!+#REF!+P175+P178</f>
        <v>#REF!</v>
      </c>
      <c r="Q167" s="156" t="e">
        <f>Q169+Q170+Q171+#REF!+#REF!+Q175+Q178</f>
        <v>#REF!</v>
      </c>
      <c r="R167" s="156">
        <f t="shared" ref="R167:X167" si="59">SUM(R169:R178)</f>
        <v>280358</v>
      </c>
      <c r="S167" s="128">
        <f t="shared" si="59"/>
        <v>10964</v>
      </c>
      <c r="T167" s="129">
        <f t="shared" si="59"/>
        <v>-1884</v>
      </c>
      <c r="U167" s="129">
        <f t="shared" si="59"/>
        <v>289438</v>
      </c>
      <c r="V167" s="128">
        <f t="shared" si="59"/>
        <v>269891</v>
      </c>
      <c r="W167" s="128">
        <f t="shared" si="59"/>
        <v>21738</v>
      </c>
      <c r="X167" s="129">
        <f t="shared" si="59"/>
        <v>0</v>
      </c>
      <c r="Y167" s="128">
        <f>SUM(Y169:Y178)</f>
        <v>1150</v>
      </c>
      <c r="Z167" s="182">
        <f t="shared" si="58"/>
        <v>292779</v>
      </c>
      <c r="AA167" s="182">
        <f>SUM(AA169:AA178)</f>
        <v>-12100</v>
      </c>
      <c r="AB167" s="182">
        <f>SUM(AB169:AB178)</f>
        <v>1149</v>
      </c>
      <c r="AC167" s="129">
        <f t="shared" si="57"/>
        <v>281828</v>
      </c>
      <c r="AD167" s="128">
        <f>SUM(AD169:AD178)</f>
        <v>-6500</v>
      </c>
      <c r="AE167" s="128">
        <f>SUM(AE169:AE178)</f>
        <v>559</v>
      </c>
      <c r="AF167" s="128">
        <f>SUM(AF169:AF178)</f>
        <v>275887</v>
      </c>
      <c r="AG167" s="128">
        <f>SUM(AG169:AG178)</f>
        <v>0</v>
      </c>
      <c r="AH167" s="128">
        <f>SUM(AH169:AH178)</f>
        <v>0</v>
      </c>
      <c r="AI167" s="128">
        <f>SUM(AF167:AH167)</f>
        <v>275887</v>
      </c>
    </row>
    <row r="168" spans="1:35" x14ac:dyDescent="0.25">
      <c r="A168" s="167" t="s">
        <v>59</v>
      </c>
      <c r="B168" s="137"/>
      <c r="C168" s="22"/>
      <c r="D168" s="22"/>
      <c r="E168" s="23"/>
      <c r="F168" s="23"/>
      <c r="G168" s="23"/>
      <c r="H168" s="24"/>
      <c r="I168" s="25"/>
      <c r="J168" s="25"/>
      <c r="K168" s="131"/>
      <c r="L168" s="132"/>
      <c r="M168" s="132"/>
      <c r="N168" s="131"/>
      <c r="O168" s="131"/>
      <c r="P168" s="131"/>
      <c r="Q168" s="131"/>
      <c r="R168" s="131"/>
      <c r="S168" s="135"/>
      <c r="T168" s="136"/>
      <c r="U168" s="136"/>
      <c r="V168" s="26"/>
      <c r="W168" s="26"/>
      <c r="X168" s="27"/>
      <c r="Y168" s="26"/>
      <c r="Z168" s="74"/>
      <c r="AA168" s="74"/>
      <c r="AB168" s="74"/>
      <c r="AC168" s="27"/>
      <c r="AD168" s="26"/>
      <c r="AE168" s="26"/>
      <c r="AF168" s="26"/>
      <c r="AG168" s="26"/>
      <c r="AH168" s="26"/>
      <c r="AI168" s="26"/>
    </row>
    <row r="169" spans="1:35" ht="41.25" customHeight="1" x14ac:dyDescent="0.25">
      <c r="A169" s="28" t="s">
        <v>224</v>
      </c>
      <c r="B169" s="141"/>
      <c r="C169" s="30">
        <v>0</v>
      </c>
      <c r="D169" s="30">
        <v>0</v>
      </c>
      <c r="E169" s="31">
        <v>0</v>
      </c>
      <c r="F169" s="31">
        <v>0</v>
      </c>
      <c r="G169" s="31">
        <f>D169+E169+F169</f>
        <v>0</v>
      </c>
      <c r="H169" s="32">
        <v>0</v>
      </c>
      <c r="I169" s="33">
        <v>0</v>
      </c>
      <c r="J169" s="33">
        <v>0</v>
      </c>
      <c r="K169" s="33">
        <f>G169+H169+I169+J169</f>
        <v>0</v>
      </c>
      <c r="L169" s="32">
        <v>0</v>
      </c>
      <c r="M169" s="32">
        <v>0</v>
      </c>
      <c r="N169" s="33">
        <f>K169+L169+M169</f>
        <v>0</v>
      </c>
      <c r="O169" s="33">
        <v>0</v>
      </c>
      <c r="P169" s="33">
        <v>0</v>
      </c>
      <c r="Q169" s="33">
        <v>0</v>
      </c>
      <c r="R169" s="31">
        <f>O169+P169+Q169</f>
        <v>0</v>
      </c>
      <c r="S169" s="32">
        <v>0</v>
      </c>
      <c r="T169" s="33">
        <v>0</v>
      </c>
      <c r="U169" s="33">
        <f>SUM(R169:T169)</f>
        <v>0</v>
      </c>
      <c r="V169" s="34">
        <v>0</v>
      </c>
      <c r="W169" s="34">
        <f>V169-U169</f>
        <v>0</v>
      </c>
      <c r="X169" s="35">
        <v>0</v>
      </c>
      <c r="Y169" s="34">
        <v>0</v>
      </c>
      <c r="Z169" s="87">
        <f t="shared" si="58"/>
        <v>0</v>
      </c>
      <c r="AA169" s="87">
        <f t="shared" si="58"/>
        <v>0</v>
      </c>
      <c r="AB169" s="87">
        <f t="shared" si="58"/>
        <v>0</v>
      </c>
      <c r="AC169" s="27">
        <f t="shared" si="57"/>
        <v>0</v>
      </c>
      <c r="AD169" s="26">
        <v>0</v>
      </c>
      <c r="AE169" s="26">
        <v>0</v>
      </c>
      <c r="AF169" s="26">
        <f>SUM(AC169:AE169)</f>
        <v>0</v>
      </c>
      <c r="AG169" s="34">
        <v>0</v>
      </c>
      <c r="AH169" s="34">
        <v>0</v>
      </c>
      <c r="AI169" s="34">
        <f>SUM(AF169:AH169)</f>
        <v>0</v>
      </c>
    </row>
    <row r="170" spans="1:35" x14ac:dyDescent="0.25">
      <c r="A170" s="163" t="s">
        <v>83</v>
      </c>
      <c r="B170" s="141"/>
      <c r="C170" s="30">
        <v>116338</v>
      </c>
      <c r="D170" s="30">
        <v>70349</v>
      </c>
      <c r="E170" s="31">
        <v>0</v>
      </c>
      <c r="F170" s="31">
        <v>29495</v>
      </c>
      <c r="G170" s="31">
        <f>D170+E170+F170+1066</f>
        <v>100910</v>
      </c>
      <c r="H170" s="32">
        <v>0</v>
      </c>
      <c r="I170" s="33">
        <v>0</v>
      </c>
      <c r="J170" s="33">
        <v>0</v>
      </c>
      <c r="K170" s="33">
        <f t="shared" ref="K170:K178" si="60">G170+H170+I170+J170</f>
        <v>100910</v>
      </c>
      <c r="L170" s="32">
        <v>786</v>
      </c>
      <c r="M170" s="32">
        <v>12500</v>
      </c>
      <c r="N170" s="33">
        <f t="shared" ref="N170:N178" si="61">K170+L170+M170</f>
        <v>114196</v>
      </c>
      <c r="O170" s="33">
        <v>76565</v>
      </c>
      <c r="P170" s="33">
        <f>125+3881+2880</f>
        <v>6886</v>
      </c>
      <c r="Q170" s="33">
        <v>14588</v>
      </c>
      <c r="R170" s="31">
        <f>O170+P170+Q170+1</f>
        <v>98040</v>
      </c>
      <c r="S170" s="34">
        <v>8350</v>
      </c>
      <c r="T170" s="35">
        <f>-2246</f>
        <v>-2246</v>
      </c>
      <c r="U170" s="35">
        <f>SUM(R170:T170)</f>
        <v>104144</v>
      </c>
      <c r="V170" s="34">
        <v>75014</v>
      </c>
      <c r="W170" s="34">
        <f>94+14550</f>
        <v>14644</v>
      </c>
      <c r="X170" s="35">
        <v>0</v>
      </c>
      <c r="Y170" s="34">
        <f>1000+30</f>
        <v>1030</v>
      </c>
      <c r="Z170" s="87">
        <f t="shared" si="58"/>
        <v>90688</v>
      </c>
      <c r="AA170" s="87">
        <f>-10207</f>
        <v>-10207</v>
      </c>
      <c r="AB170" s="87">
        <f>1013+1566-52</f>
        <v>2527</v>
      </c>
      <c r="AC170" s="27">
        <f t="shared" si="57"/>
        <v>83008</v>
      </c>
      <c r="AD170" s="26">
        <v>-3000</v>
      </c>
      <c r="AE170" s="26">
        <f>809-250</f>
        <v>559</v>
      </c>
      <c r="AF170" s="26">
        <f>SUM(AC170:AE170)-50</f>
        <v>80517</v>
      </c>
      <c r="AG170" s="34">
        <v>0</v>
      </c>
      <c r="AH170" s="34">
        <v>0</v>
      </c>
      <c r="AI170" s="34">
        <f t="shared" ref="AI170:AI177" si="62">SUM(AF170:AH170)</f>
        <v>80517</v>
      </c>
    </row>
    <row r="171" spans="1:35" x14ac:dyDescent="0.25">
      <c r="A171" s="163" t="s">
        <v>225</v>
      </c>
      <c r="B171" s="162" t="s">
        <v>88</v>
      </c>
      <c r="C171" s="30">
        <v>79583</v>
      </c>
      <c r="D171" s="30">
        <v>79600</v>
      </c>
      <c r="E171" s="31">
        <v>0</v>
      </c>
      <c r="F171" s="31">
        <v>0</v>
      </c>
      <c r="G171" s="31">
        <f>D171+E171+F171+1587</f>
        <v>81187</v>
      </c>
      <c r="H171" s="32">
        <v>0</v>
      </c>
      <c r="I171" s="33">
        <v>0</v>
      </c>
      <c r="J171" s="33">
        <v>0</v>
      </c>
      <c r="K171" s="33">
        <f t="shared" si="60"/>
        <v>81187</v>
      </c>
      <c r="L171" s="32">
        <v>0</v>
      </c>
      <c r="M171" s="32">
        <v>0</v>
      </c>
      <c r="N171" s="33">
        <f t="shared" si="61"/>
        <v>81187</v>
      </c>
      <c r="O171" s="33">
        <v>115400</v>
      </c>
      <c r="P171" s="33">
        <v>0</v>
      </c>
      <c r="Q171" s="33">
        <v>2000</v>
      </c>
      <c r="R171" s="31">
        <f>O171+P171+Q171</f>
        <v>117400</v>
      </c>
      <c r="S171" s="34">
        <v>0</v>
      </c>
      <c r="T171" s="35">
        <v>0</v>
      </c>
      <c r="U171" s="35">
        <f t="shared" ref="U171:U178" si="63">SUM(R171:T171)</f>
        <v>117400</v>
      </c>
      <c r="V171" s="34">
        <v>109600</v>
      </c>
      <c r="W171" s="34">
        <f>3500</f>
        <v>3500</v>
      </c>
      <c r="X171" s="35">
        <v>0</v>
      </c>
      <c r="Y171" s="34">
        <v>0</v>
      </c>
      <c r="Z171" s="87">
        <f>SUM(V171:Y171)</f>
        <v>113100</v>
      </c>
      <c r="AA171" s="87">
        <f>-250</f>
        <v>-250</v>
      </c>
      <c r="AB171" s="87">
        <v>0</v>
      </c>
      <c r="AC171" s="27">
        <f t="shared" si="57"/>
        <v>112850</v>
      </c>
      <c r="AD171" s="26">
        <v>0</v>
      </c>
      <c r="AE171" s="26">
        <v>0</v>
      </c>
      <c r="AF171" s="26">
        <f t="shared" ref="AF171:AF177" si="64">SUM(AC171:AE171)</f>
        <v>112850</v>
      </c>
      <c r="AG171" s="34">
        <v>0</v>
      </c>
      <c r="AH171" s="34">
        <v>0</v>
      </c>
      <c r="AI171" s="34">
        <f t="shared" si="62"/>
        <v>112850</v>
      </c>
    </row>
    <row r="172" spans="1:35" x14ac:dyDescent="0.25">
      <c r="A172" s="163" t="s">
        <v>226</v>
      </c>
      <c r="B172" s="162" t="s">
        <v>88</v>
      </c>
      <c r="C172" s="22"/>
      <c r="D172" s="22"/>
      <c r="E172" s="23"/>
      <c r="F172" s="23"/>
      <c r="G172" s="23"/>
      <c r="H172" s="32"/>
      <c r="I172" s="33"/>
      <c r="J172" s="33"/>
      <c r="K172" s="33"/>
      <c r="L172" s="32"/>
      <c r="M172" s="32"/>
      <c r="N172" s="33"/>
      <c r="O172" s="33"/>
      <c r="P172" s="33"/>
      <c r="Q172" s="33"/>
      <c r="R172" s="31"/>
      <c r="S172" s="34"/>
      <c r="T172" s="35"/>
      <c r="U172" s="35"/>
      <c r="V172" s="34">
        <v>0</v>
      </c>
      <c r="W172" s="34"/>
      <c r="X172" s="35"/>
      <c r="Y172" s="34"/>
      <c r="Z172" s="87">
        <v>0</v>
      </c>
      <c r="AA172" s="87">
        <f>250</f>
        <v>250</v>
      </c>
      <c r="AB172" s="87">
        <v>0</v>
      </c>
      <c r="AC172" s="27">
        <f t="shared" si="57"/>
        <v>250</v>
      </c>
      <c r="AD172" s="26">
        <v>0</v>
      </c>
      <c r="AE172" s="26">
        <v>0</v>
      </c>
      <c r="AF172" s="26">
        <f t="shared" si="64"/>
        <v>250</v>
      </c>
      <c r="AG172" s="34">
        <v>0</v>
      </c>
      <c r="AH172" s="34">
        <v>0</v>
      </c>
      <c r="AI172" s="34">
        <f t="shared" si="62"/>
        <v>250</v>
      </c>
    </row>
    <row r="173" spans="1:35" x14ac:dyDescent="0.25">
      <c r="A173" s="163" t="s">
        <v>227</v>
      </c>
      <c r="B173" s="162" t="s">
        <v>88</v>
      </c>
      <c r="C173" s="22"/>
      <c r="D173" s="22"/>
      <c r="E173" s="23"/>
      <c r="F173" s="23"/>
      <c r="G173" s="23"/>
      <c r="H173" s="32"/>
      <c r="I173" s="33"/>
      <c r="J173" s="33"/>
      <c r="K173" s="33"/>
      <c r="L173" s="32"/>
      <c r="M173" s="32"/>
      <c r="N173" s="33"/>
      <c r="O173" s="33">
        <v>0</v>
      </c>
      <c r="P173" s="33"/>
      <c r="Q173" s="33"/>
      <c r="R173" s="31"/>
      <c r="S173" s="34"/>
      <c r="T173" s="35"/>
      <c r="U173" s="35">
        <v>0</v>
      </c>
      <c r="V173" s="34">
        <v>20400</v>
      </c>
      <c r="W173" s="34">
        <f>244</f>
        <v>244</v>
      </c>
      <c r="X173" s="35">
        <v>0</v>
      </c>
      <c r="Y173" s="34">
        <v>0</v>
      </c>
      <c r="Z173" s="87">
        <f t="shared" ref="Z173:Z196" si="65">SUM(V173:Y173)</f>
        <v>20644</v>
      </c>
      <c r="AA173" s="87">
        <v>0</v>
      </c>
      <c r="AB173" s="87">
        <v>0</v>
      </c>
      <c r="AC173" s="27">
        <f t="shared" si="57"/>
        <v>20644</v>
      </c>
      <c r="AD173" s="26">
        <v>0</v>
      </c>
      <c r="AE173" s="26">
        <v>0</v>
      </c>
      <c r="AF173" s="26">
        <f t="shared" si="64"/>
        <v>20644</v>
      </c>
      <c r="AG173" s="34">
        <v>0</v>
      </c>
      <c r="AH173" s="34">
        <v>0</v>
      </c>
      <c r="AI173" s="34">
        <f>SUM(AF173:AH173)</f>
        <v>20644</v>
      </c>
    </row>
    <row r="174" spans="1:35" x14ac:dyDescent="0.25">
      <c r="A174" s="163" t="s">
        <v>228</v>
      </c>
      <c r="B174" s="162" t="s">
        <v>229</v>
      </c>
      <c r="C174" s="22"/>
      <c r="D174" s="22"/>
      <c r="E174" s="23"/>
      <c r="F174" s="23"/>
      <c r="G174" s="23"/>
      <c r="H174" s="32"/>
      <c r="I174" s="33"/>
      <c r="J174" s="33"/>
      <c r="K174" s="33"/>
      <c r="L174" s="32"/>
      <c r="M174" s="32"/>
      <c r="N174" s="33"/>
      <c r="O174" s="33"/>
      <c r="P174" s="33"/>
      <c r="Q174" s="33"/>
      <c r="R174" s="31"/>
      <c r="S174" s="34"/>
      <c r="T174" s="35"/>
      <c r="U174" s="35"/>
      <c r="V174" s="34">
        <v>0</v>
      </c>
      <c r="W174" s="34"/>
      <c r="X174" s="35"/>
      <c r="Y174" s="34"/>
      <c r="Z174" s="87">
        <v>0</v>
      </c>
      <c r="AA174" s="87">
        <v>0</v>
      </c>
      <c r="AB174" s="87">
        <f>176</f>
        <v>176</v>
      </c>
      <c r="AC174" s="27">
        <f t="shared" si="57"/>
        <v>176</v>
      </c>
      <c r="AD174" s="26">
        <v>0</v>
      </c>
      <c r="AE174" s="26">
        <v>0</v>
      </c>
      <c r="AF174" s="26">
        <f t="shared" si="64"/>
        <v>176</v>
      </c>
      <c r="AG174" s="34">
        <v>0</v>
      </c>
      <c r="AH174" s="34">
        <v>0</v>
      </c>
      <c r="AI174" s="34">
        <f t="shared" si="62"/>
        <v>176</v>
      </c>
    </row>
    <row r="175" spans="1:35" x14ac:dyDescent="0.25">
      <c r="A175" s="163" t="s">
        <v>230</v>
      </c>
      <c r="B175" s="162" t="s">
        <v>88</v>
      </c>
      <c r="C175" s="30">
        <v>181</v>
      </c>
      <c r="D175" s="30">
        <v>181</v>
      </c>
      <c r="E175" s="31">
        <v>0</v>
      </c>
      <c r="F175" s="31">
        <v>0</v>
      </c>
      <c r="G175" s="31">
        <f>D175+E175+F175</f>
        <v>181</v>
      </c>
      <c r="H175" s="32">
        <v>0</v>
      </c>
      <c r="I175" s="33">
        <v>0</v>
      </c>
      <c r="J175" s="33">
        <v>0</v>
      </c>
      <c r="K175" s="33">
        <f t="shared" si="60"/>
        <v>181</v>
      </c>
      <c r="L175" s="32">
        <v>0</v>
      </c>
      <c r="M175" s="32">
        <v>0</v>
      </c>
      <c r="N175" s="33">
        <f>K175+L175+M175</f>
        <v>181</v>
      </c>
      <c r="O175" s="33">
        <v>181</v>
      </c>
      <c r="P175" s="33">
        <v>0</v>
      </c>
      <c r="Q175" s="33">
        <v>0</v>
      </c>
      <c r="R175" s="31">
        <f>O175+P175+Q175</f>
        <v>181</v>
      </c>
      <c r="S175" s="34">
        <v>0</v>
      </c>
      <c r="T175" s="35">
        <v>0</v>
      </c>
      <c r="U175" s="35">
        <f t="shared" si="63"/>
        <v>181</v>
      </c>
      <c r="V175" s="34">
        <v>160</v>
      </c>
      <c r="W175" s="34">
        <v>0</v>
      </c>
      <c r="X175" s="35">
        <v>0</v>
      </c>
      <c r="Y175" s="34">
        <v>0</v>
      </c>
      <c r="Z175" s="87">
        <f t="shared" si="65"/>
        <v>160</v>
      </c>
      <c r="AA175" s="87">
        <v>0</v>
      </c>
      <c r="AB175" s="87">
        <v>0</v>
      </c>
      <c r="AC175" s="27">
        <f t="shared" si="57"/>
        <v>160</v>
      </c>
      <c r="AD175" s="26">
        <v>0</v>
      </c>
      <c r="AE175" s="26">
        <v>0</v>
      </c>
      <c r="AF175" s="26">
        <f>SUM(AC175:AE175)</f>
        <v>160</v>
      </c>
      <c r="AG175" s="34">
        <v>0</v>
      </c>
      <c r="AH175" s="34">
        <v>0</v>
      </c>
      <c r="AI175" s="34">
        <f>SUM(AF175:AH175)</f>
        <v>160</v>
      </c>
    </row>
    <row r="176" spans="1:35" x14ac:dyDescent="0.25">
      <c r="A176" s="163" t="s">
        <v>231</v>
      </c>
      <c r="B176" s="162" t="s">
        <v>88</v>
      </c>
      <c r="C176" s="30"/>
      <c r="D176" s="30">
        <v>0</v>
      </c>
      <c r="E176" s="31"/>
      <c r="F176" s="31"/>
      <c r="G176" s="31"/>
      <c r="H176" s="32"/>
      <c r="I176" s="33"/>
      <c r="J176" s="33"/>
      <c r="K176" s="33"/>
      <c r="L176" s="32"/>
      <c r="M176" s="32"/>
      <c r="N176" s="33">
        <v>0</v>
      </c>
      <c r="O176" s="33">
        <v>105</v>
      </c>
      <c r="P176" s="33">
        <v>0</v>
      </c>
      <c r="Q176" s="33">
        <v>0</v>
      </c>
      <c r="R176" s="31">
        <f>O176+P176+Q176</f>
        <v>105</v>
      </c>
      <c r="S176" s="34">
        <v>0</v>
      </c>
      <c r="T176" s="35">
        <v>0</v>
      </c>
      <c r="U176" s="35">
        <f t="shared" si="63"/>
        <v>105</v>
      </c>
      <c r="V176" s="34">
        <v>106</v>
      </c>
      <c r="W176" s="34">
        <v>0</v>
      </c>
      <c r="X176" s="35">
        <v>0</v>
      </c>
      <c r="Y176" s="34">
        <v>0</v>
      </c>
      <c r="Z176" s="87">
        <f t="shared" si="65"/>
        <v>106</v>
      </c>
      <c r="AA176" s="87">
        <v>0</v>
      </c>
      <c r="AB176" s="87">
        <v>0</v>
      </c>
      <c r="AC176" s="27">
        <f t="shared" si="57"/>
        <v>106</v>
      </c>
      <c r="AD176" s="26">
        <v>0</v>
      </c>
      <c r="AE176" s="26">
        <v>0</v>
      </c>
      <c r="AF176" s="26">
        <f t="shared" si="64"/>
        <v>106</v>
      </c>
      <c r="AG176" s="34">
        <v>0</v>
      </c>
      <c r="AH176" s="34">
        <v>0</v>
      </c>
      <c r="AI176" s="34">
        <f>SUM(AF176:AH176)</f>
        <v>106</v>
      </c>
    </row>
    <row r="177" spans="1:35" x14ac:dyDescent="0.25">
      <c r="A177" s="163" t="s">
        <v>232</v>
      </c>
      <c r="B177" s="162" t="s">
        <v>88</v>
      </c>
      <c r="C177" s="38"/>
      <c r="D177" s="38"/>
      <c r="E177" s="39"/>
      <c r="F177" s="39"/>
      <c r="G177" s="31"/>
      <c r="H177" s="41"/>
      <c r="I177" s="42"/>
      <c r="J177" s="42"/>
      <c r="K177" s="33"/>
      <c r="L177" s="41"/>
      <c r="M177" s="41"/>
      <c r="N177" s="33"/>
      <c r="O177" s="33">
        <v>0</v>
      </c>
      <c r="P177" s="33"/>
      <c r="Q177" s="33"/>
      <c r="R177" s="31">
        <v>0</v>
      </c>
      <c r="S177" s="44">
        <v>614</v>
      </c>
      <c r="T177" s="45">
        <v>0</v>
      </c>
      <c r="U177" s="35">
        <f t="shared" si="63"/>
        <v>614</v>
      </c>
      <c r="V177" s="34">
        <v>614</v>
      </c>
      <c r="W177" s="34">
        <v>0</v>
      </c>
      <c r="X177" s="35">
        <v>0</v>
      </c>
      <c r="Y177" s="34">
        <v>0</v>
      </c>
      <c r="Z177" s="87">
        <f t="shared" si="65"/>
        <v>614</v>
      </c>
      <c r="AA177" s="87">
        <v>0</v>
      </c>
      <c r="AB177" s="87">
        <v>0</v>
      </c>
      <c r="AC177" s="27">
        <f t="shared" si="57"/>
        <v>614</v>
      </c>
      <c r="AD177" s="26">
        <v>0</v>
      </c>
      <c r="AE177" s="26">
        <v>0</v>
      </c>
      <c r="AF177" s="26">
        <f t="shared" si="64"/>
        <v>614</v>
      </c>
      <c r="AG177" s="34">
        <v>0</v>
      </c>
      <c r="AH177" s="34">
        <v>0</v>
      </c>
      <c r="AI177" s="34">
        <f t="shared" si="62"/>
        <v>614</v>
      </c>
    </row>
    <row r="178" spans="1:35" ht="28.5" customHeight="1" thickBot="1" x14ac:dyDescent="0.3">
      <c r="A178" s="36" t="s">
        <v>233</v>
      </c>
      <c r="B178" s="147"/>
      <c r="C178" s="38">
        <f>58105-3500</f>
        <v>54605</v>
      </c>
      <c r="D178" s="38">
        <v>56398</v>
      </c>
      <c r="E178" s="39">
        <f>0+200-323</f>
        <v>-123</v>
      </c>
      <c r="F178" s="39">
        <v>2200</v>
      </c>
      <c r="G178" s="39">
        <f>D178+E178+F178</f>
        <v>58475</v>
      </c>
      <c r="H178" s="41">
        <v>0</v>
      </c>
      <c r="I178" s="42">
        <v>0</v>
      </c>
      <c r="J178" s="42">
        <v>0</v>
      </c>
      <c r="K178" s="42">
        <f t="shared" si="60"/>
        <v>58475</v>
      </c>
      <c r="L178" s="41">
        <v>0</v>
      </c>
      <c r="M178" s="41">
        <v>0</v>
      </c>
      <c r="N178" s="42">
        <f t="shared" si="61"/>
        <v>58475</v>
      </c>
      <c r="O178" s="42">
        <v>60202</v>
      </c>
      <c r="P178" s="42">
        <v>0</v>
      </c>
      <c r="Q178" s="42">
        <v>4430</v>
      </c>
      <c r="R178" s="39">
        <v>64632</v>
      </c>
      <c r="S178" s="41">
        <v>2000</v>
      </c>
      <c r="T178" s="42">
        <f>362</f>
        <v>362</v>
      </c>
      <c r="U178" s="42">
        <f t="shared" si="63"/>
        <v>66994</v>
      </c>
      <c r="V178" s="44">
        <v>63997</v>
      </c>
      <c r="W178" s="44">
        <f>3350</f>
        <v>3350</v>
      </c>
      <c r="X178" s="45">
        <v>0</v>
      </c>
      <c r="Y178" s="44">
        <f>120</f>
        <v>120</v>
      </c>
      <c r="Z178" s="181">
        <f t="shared" si="65"/>
        <v>67467</v>
      </c>
      <c r="AA178" s="181">
        <f>-1893</f>
        <v>-1893</v>
      </c>
      <c r="AB178" s="181">
        <f>12-1566</f>
        <v>-1554</v>
      </c>
      <c r="AC178" s="45">
        <f t="shared" si="57"/>
        <v>64020</v>
      </c>
      <c r="AD178" s="44">
        <v>-3500</v>
      </c>
      <c r="AE178" s="44">
        <v>0</v>
      </c>
      <c r="AF178" s="44">
        <f>SUM(AC178:AE178)+50</f>
        <v>60570</v>
      </c>
      <c r="AG178" s="44">
        <v>0</v>
      </c>
      <c r="AH178" s="44">
        <v>0</v>
      </c>
      <c r="AI178" s="34">
        <f>SUM(AF178:AH178)</f>
        <v>60570</v>
      </c>
    </row>
    <row r="179" spans="1:35" ht="15.75" thickBot="1" x14ac:dyDescent="0.3">
      <c r="A179" s="165" t="s">
        <v>234</v>
      </c>
      <c r="B179" s="155"/>
      <c r="C179" s="183" t="e">
        <f>C181+C182+C183+C185+#REF!+#REF!+#REF!+#REF!+#REF!+#REF!+#REF!+C186+C188</f>
        <v>#REF!</v>
      </c>
      <c r="D179" s="183">
        <f>D181+D182+D183+D185+D186+D188</f>
        <v>94017</v>
      </c>
      <c r="E179" s="183">
        <f t="shared" ref="E179:J179" si="66">E181+E182+E183+E185+E186+E188</f>
        <v>0</v>
      </c>
      <c r="F179" s="183">
        <f t="shared" si="66"/>
        <v>1029</v>
      </c>
      <c r="G179" s="183">
        <f t="shared" si="66"/>
        <v>95046</v>
      </c>
      <c r="H179" s="183">
        <f t="shared" si="66"/>
        <v>0</v>
      </c>
      <c r="I179" s="183">
        <f t="shared" si="66"/>
        <v>0</v>
      </c>
      <c r="J179" s="183">
        <f t="shared" si="66"/>
        <v>-100</v>
      </c>
      <c r="K179" s="156">
        <f>K181+K182+K183+K185+K186+K188</f>
        <v>94946</v>
      </c>
      <c r="L179" s="156">
        <f>L181+L182+L183+L185+L186+L188</f>
        <v>0</v>
      </c>
      <c r="M179" s="156">
        <f>M181+M182+M183+M185+M186+M188</f>
        <v>500</v>
      </c>
      <c r="N179" s="156">
        <f>N181+N182+N183+N185+N186+N188</f>
        <v>95446</v>
      </c>
      <c r="O179" s="156">
        <f>O181+O182+O183+O185+O186+O188+O187</f>
        <v>99914</v>
      </c>
      <c r="P179" s="156">
        <f>P181+P182+P183+P185+P186+P188+P187</f>
        <v>580</v>
      </c>
      <c r="Q179" s="156">
        <f>Q181+Q182+Q183+Q185+Q186+Q188+Q187</f>
        <v>2999</v>
      </c>
      <c r="R179" s="156">
        <f>R181+R182+R183+R185+R186+R187+R188</f>
        <v>103626.3</v>
      </c>
      <c r="S179" s="128">
        <f t="shared" ref="S179:Y179" si="67">SUM(S181:S188)</f>
        <v>8000</v>
      </c>
      <c r="T179" s="129">
        <f t="shared" si="67"/>
        <v>0</v>
      </c>
      <c r="U179" s="129">
        <f t="shared" si="67"/>
        <v>111626.3</v>
      </c>
      <c r="V179" s="128">
        <f t="shared" si="67"/>
        <v>107673</v>
      </c>
      <c r="W179" s="128">
        <f t="shared" si="67"/>
        <v>1569.95</v>
      </c>
      <c r="X179" s="129">
        <f t="shared" si="67"/>
        <v>0</v>
      </c>
      <c r="Y179" s="128">
        <f t="shared" si="67"/>
        <v>-385</v>
      </c>
      <c r="Z179" s="182">
        <f t="shared" si="65"/>
        <v>108857.95</v>
      </c>
      <c r="AA179" s="182">
        <f>SUM(AA181:AA188)</f>
        <v>-2509</v>
      </c>
      <c r="AB179" s="182">
        <f>SUM(AB181:AB188)</f>
        <v>92.1</v>
      </c>
      <c r="AC179" s="129">
        <f t="shared" si="57"/>
        <v>106441.05</v>
      </c>
      <c r="AD179" s="128">
        <f>SUM(AD181:AD188)</f>
        <v>-3000.79</v>
      </c>
      <c r="AE179" s="128">
        <f>SUM(AE181:AE188)</f>
        <v>0</v>
      </c>
      <c r="AF179" s="128">
        <f>SUM(AF181:AF188)</f>
        <v>104232.23000000001</v>
      </c>
      <c r="AG179" s="128">
        <f>SUM(AG181:AG188)</f>
        <v>-1852.73</v>
      </c>
      <c r="AH179" s="128">
        <f>SUM(AH181:AH188)</f>
        <v>0</v>
      </c>
      <c r="AI179" s="128">
        <f>SUM(AF179:AH179)</f>
        <v>102379.50000000001</v>
      </c>
    </row>
    <row r="180" spans="1:35" x14ac:dyDescent="0.25">
      <c r="A180" s="167" t="s">
        <v>59</v>
      </c>
      <c r="B180" s="137"/>
      <c r="C180" s="24"/>
      <c r="D180" s="24"/>
      <c r="E180" s="25"/>
      <c r="F180" s="25"/>
      <c r="G180" s="25"/>
      <c r="H180" s="24"/>
      <c r="I180" s="25"/>
      <c r="J180" s="25"/>
      <c r="K180" s="131"/>
      <c r="L180" s="132"/>
      <c r="M180" s="132"/>
      <c r="N180" s="131"/>
      <c r="O180" s="131"/>
      <c r="P180" s="131"/>
      <c r="Q180" s="131"/>
      <c r="R180" s="131"/>
      <c r="S180" s="184"/>
      <c r="T180" s="185"/>
      <c r="U180" s="185"/>
      <c r="V180" s="26"/>
      <c r="W180" s="26"/>
      <c r="X180" s="27"/>
      <c r="Y180" s="26"/>
      <c r="Z180" s="74"/>
      <c r="AA180" s="74"/>
      <c r="AB180" s="74"/>
      <c r="AC180" s="27"/>
      <c r="AD180" s="26"/>
      <c r="AE180" s="26"/>
      <c r="AF180" s="26"/>
      <c r="AG180" s="26"/>
      <c r="AH180" s="26"/>
      <c r="AI180" s="26"/>
    </row>
    <row r="181" spans="1:35" ht="24" customHeight="1" x14ac:dyDescent="0.25">
      <c r="A181" s="153" t="s">
        <v>235</v>
      </c>
      <c r="B181" s="141"/>
      <c r="C181" s="32">
        <v>262.38</v>
      </c>
      <c r="D181" s="32">
        <v>0</v>
      </c>
      <c r="E181" s="33">
        <v>0</v>
      </c>
      <c r="F181" s="33">
        <v>0</v>
      </c>
      <c r="G181" s="33">
        <f>D181+E181+F181</f>
        <v>0</v>
      </c>
      <c r="H181" s="32">
        <v>0</v>
      </c>
      <c r="I181" s="33">
        <v>0</v>
      </c>
      <c r="J181" s="33">
        <v>0</v>
      </c>
      <c r="K181" s="33">
        <f>G181+H181+I181+J181</f>
        <v>0</v>
      </c>
      <c r="L181" s="32">
        <v>0</v>
      </c>
      <c r="M181" s="32">
        <v>0</v>
      </c>
      <c r="N181" s="33">
        <f>K181+L181+M181</f>
        <v>0</v>
      </c>
      <c r="O181" s="33">
        <v>0</v>
      </c>
      <c r="P181" s="33">
        <v>0</v>
      </c>
      <c r="Q181" s="33">
        <v>0</v>
      </c>
      <c r="R181" s="31">
        <f>77.7</f>
        <v>77.7</v>
      </c>
      <c r="S181" s="32">
        <v>0</v>
      </c>
      <c r="T181" s="33">
        <v>0</v>
      </c>
      <c r="U181" s="33">
        <f>SUM(R181:T181)</f>
        <v>77.7</v>
      </c>
      <c r="V181" s="34">
        <v>0</v>
      </c>
      <c r="W181" s="34">
        <v>0</v>
      </c>
      <c r="X181" s="35">
        <v>0</v>
      </c>
      <c r="Y181" s="34">
        <f>115</f>
        <v>115</v>
      </c>
      <c r="Z181" s="87">
        <f t="shared" si="65"/>
        <v>115</v>
      </c>
      <c r="AA181" s="87">
        <v>0</v>
      </c>
      <c r="AB181" s="87">
        <v>0</v>
      </c>
      <c r="AC181" s="27">
        <f t="shared" si="57"/>
        <v>115</v>
      </c>
      <c r="AD181" s="26">
        <v>0</v>
      </c>
      <c r="AE181" s="26">
        <v>0</v>
      </c>
      <c r="AF181" s="26">
        <f>SUM(AC181:AE181)+791.97</f>
        <v>906.97</v>
      </c>
      <c r="AG181" s="34">
        <v>0</v>
      </c>
      <c r="AH181" s="34">
        <v>0</v>
      </c>
      <c r="AI181" s="34">
        <f>SUM(AF181:AH181)</f>
        <v>906.97</v>
      </c>
    </row>
    <row r="182" spans="1:35" x14ac:dyDescent="0.25">
      <c r="A182" s="163" t="s">
        <v>83</v>
      </c>
      <c r="B182" s="141"/>
      <c r="C182" s="32">
        <v>2130</v>
      </c>
      <c r="D182" s="32">
        <v>2380</v>
      </c>
      <c r="E182" s="33">
        <v>-230</v>
      </c>
      <c r="F182" s="33">
        <v>300</v>
      </c>
      <c r="G182" s="33">
        <f t="shared" ref="G182:G188" si="68">D182+E182+F182</f>
        <v>2450</v>
      </c>
      <c r="H182" s="32">
        <v>0</v>
      </c>
      <c r="I182" s="33">
        <v>0</v>
      </c>
      <c r="J182" s="33">
        <v>0</v>
      </c>
      <c r="K182" s="33">
        <f t="shared" ref="K182:K188" si="69">G182+H182+I182+J182</f>
        <v>2450</v>
      </c>
      <c r="L182" s="32">
        <v>0</v>
      </c>
      <c r="M182" s="32">
        <v>0</v>
      </c>
      <c r="N182" s="33">
        <f t="shared" ref="N182:N188" si="70">K182+L182+M182</f>
        <v>2450</v>
      </c>
      <c r="O182" s="33">
        <v>3860</v>
      </c>
      <c r="P182" s="33">
        <f>-270</f>
        <v>-270</v>
      </c>
      <c r="Q182" s="33">
        <v>0</v>
      </c>
      <c r="R182" s="31">
        <f>O182+P182+Q182</f>
        <v>3590</v>
      </c>
      <c r="S182" s="32">
        <v>0</v>
      </c>
      <c r="T182" s="33">
        <f>-300</f>
        <v>-300</v>
      </c>
      <c r="U182" s="33">
        <f t="shared" ref="U182:U188" si="71">SUM(R182:T182)</f>
        <v>3290</v>
      </c>
      <c r="V182" s="34">
        <v>4500</v>
      </c>
      <c r="W182" s="34">
        <f>-4+94+3</f>
        <v>93</v>
      </c>
      <c r="X182" s="35">
        <v>0</v>
      </c>
      <c r="Y182" s="34">
        <v>0</v>
      </c>
      <c r="Z182" s="87">
        <f t="shared" si="65"/>
        <v>4593</v>
      </c>
      <c r="AA182" s="87">
        <f>-310</f>
        <v>-310</v>
      </c>
      <c r="AB182" s="87">
        <f>37-100+40</f>
        <v>-23</v>
      </c>
      <c r="AC182" s="27">
        <f t="shared" si="57"/>
        <v>4260</v>
      </c>
      <c r="AD182" s="26">
        <v>-450</v>
      </c>
      <c r="AE182" s="26">
        <f>-81</f>
        <v>-81</v>
      </c>
      <c r="AF182" s="26">
        <f t="shared" ref="AF182:AF188" si="72">SUM(AC182:AE182)</f>
        <v>3729</v>
      </c>
      <c r="AG182" s="34">
        <v>0</v>
      </c>
      <c r="AH182" s="34">
        <v>0</v>
      </c>
      <c r="AI182" s="34">
        <f t="shared" ref="AI182:AI187" si="73">SUM(AF182:AH182)</f>
        <v>3729</v>
      </c>
    </row>
    <row r="183" spans="1:35" ht="25.5" customHeight="1" x14ac:dyDescent="0.25">
      <c r="A183" s="28" t="s">
        <v>236</v>
      </c>
      <c r="B183" s="176" t="s">
        <v>237</v>
      </c>
      <c r="C183" s="32">
        <v>965.7</v>
      </c>
      <c r="D183" s="32">
        <v>165</v>
      </c>
      <c r="E183" s="33">
        <v>0</v>
      </c>
      <c r="F183" s="33">
        <v>0</v>
      </c>
      <c r="G183" s="33">
        <f t="shared" si="68"/>
        <v>165</v>
      </c>
      <c r="H183" s="32">
        <v>0</v>
      </c>
      <c r="I183" s="33">
        <v>0</v>
      </c>
      <c r="J183" s="33">
        <v>0</v>
      </c>
      <c r="K183" s="33">
        <f t="shared" si="69"/>
        <v>165</v>
      </c>
      <c r="L183" s="32">
        <v>0</v>
      </c>
      <c r="M183" s="32">
        <v>0</v>
      </c>
      <c r="N183" s="33">
        <f t="shared" si="70"/>
        <v>165</v>
      </c>
      <c r="O183" s="33">
        <v>105</v>
      </c>
      <c r="P183" s="33">
        <v>0</v>
      </c>
      <c r="Q183" s="33">
        <v>0</v>
      </c>
      <c r="R183" s="31">
        <f>O183+P183+Q183</f>
        <v>105</v>
      </c>
      <c r="S183" s="32">
        <v>0</v>
      </c>
      <c r="T183" s="33">
        <v>0</v>
      </c>
      <c r="U183" s="33">
        <f t="shared" si="71"/>
        <v>105</v>
      </c>
      <c r="V183" s="34">
        <v>150</v>
      </c>
      <c r="W183" s="34">
        <v>0</v>
      </c>
      <c r="X183" s="35">
        <v>0</v>
      </c>
      <c r="Y183" s="34">
        <v>0</v>
      </c>
      <c r="Z183" s="87">
        <f t="shared" si="65"/>
        <v>150</v>
      </c>
      <c r="AA183" s="87">
        <v>0</v>
      </c>
      <c r="AB183" s="87">
        <v>0</v>
      </c>
      <c r="AC183" s="27">
        <f t="shared" si="57"/>
        <v>150</v>
      </c>
      <c r="AD183" s="26">
        <v>-50.79</v>
      </c>
      <c r="AE183" s="26">
        <v>0</v>
      </c>
      <c r="AF183" s="26">
        <f t="shared" si="72"/>
        <v>99.210000000000008</v>
      </c>
      <c r="AG183" s="34">
        <f>-9.21</f>
        <v>-9.2100000000000009</v>
      </c>
      <c r="AH183" s="34">
        <v>0</v>
      </c>
      <c r="AI183" s="34">
        <f t="shared" si="73"/>
        <v>90</v>
      </c>
    </row>
    <row r="184" spans="1:35" ht="24.75" customHeight="1" x14ac:dyDescent="0.25">
      <c r="A184" s="28" t="s">
        <v>238</v>
      </c>
      <c r="B184" s="176" t="s">
        <v>239</v>
      </c>
      <c r="C184" s="32"/>
      <c r="D184" s="32"/>
      <c r="E184" s="33"/>
      <c r="F184" s="33"/>
      <c r="G184" s="33"/>
      <c r="H184" s="32"/>
      <c r="I184" s="33"/>
      <c r="J184" s="33"/>
      <c r="K184" s="33"/>
      <c r="L184" s="32"/>
      <c r="M184" s="32"/>
      <c r="N184" s="33"/>
      <c r="O184" s="33"/>
      <c r="P184" s="33"/>
      <c r="Q184" s="33"/>
      <c r="R184" s="31"/>
      <c r="S184" s="32"/>
      <c r="T184" s="33"/>
      <c r="U184" s="33"/>
      <c r="V184" s="34">
        <v>0</v>
      </c>
      <c r="W184" s="34"/>
      <c r="X184" s="35"/>
      <c r="Y184" s="34"/>
      <c r="Z184" s="87"/>
      <c r="AA184" s="87"/>
      <c r="AB184" s="87"/>
      <c r="AC184" s="27">
        <v>0</v>
      </c>
      <c r="AD184" s="26">
        <v>150</v>
      </c>
      <c r="AE184" s="26">
        <v>0</v>
      </c>
      <c r="AF184" s="26">
        <f>SUM(AC184:AE184)</f>
        <v>150</v>
      </c>
      <c r="AG184" s="34">
        <f>-56.52</f>
        <v>-56.52</v>
      </c>
      <c r="AH184" s="34">
        <v>0</v>
      </c>
      <c r="AI184" s="34">
        <f t="shared" si="73"/>
        <v>93.47999999999999</v>
      </c>
    </row>
    <row r="185" spans="1:35" x14ac:dyDescent="0.25">
      <c r="A185" s="163" t="s">
        <v>240</v>
      </c>
      <c r="B185" s="186"/>
      <c r="C185" s="32">
        <v>6</v>
      </c>
      <c r="D185" s="32">
        <v>6</v>
      </c>
      <c r="E185" s="33">
        <v>0</v>
      </c>
      <c r="F185" s="33">
        <v>0</v>
      </c>
      <c r="G185" s="33">
        <f t="shared" si="68"/>
        <v>6</v>
      </c>
      <c r="H185" s="32">
        <v>0</v>
      </c>
      <c r="I185" s="33">
        <v>0</v>
      </c>
      <c r="J185" s="33">
        <v>0</v>
      </c>
      <c r="K185" s="33">
        <f t="shared" si="69"/>
        <v>6</v>
      </c>
      <c r="L185" s="32">
        <v>0</v>
      </c>
      <c r="M185" s="32">
        <v>0</v>
      </c>
      <c r="N185" s="33">
        <f t="shared" si="70"/>
        <v>6</v>
      </c>
      <c r="O185" s="33">
        <v>6</v>
      </c>
      <c r="P185" s="33">
        <v>0</v>
      </c>
      <c r="Q185" s="33">
        <v>0</v>
      </c>
      <c r="R185" s="31">
        <f>O185+P185+Q185</f>
        <v>6</v>
      </c>
      <c r="S185" s="34">
        <v>0</v>
      </c>
      <c r="T185" s="35">
        <v>0</v>
      </c>
      <c r="U185" s="35">
        <f t="shared" si="71"/>
        <v>6</v>
      </c>
      <c r="V185" s="34">
        <v>6</v>
      </c>
      <c r="W185" s="34">
        <v>0</v>
      </c>
      <c r="X185" s="35">
        <v>0</v>
      </c>
      <c r="Y185" s="34">
        <v>0</v>
      </c>
      <c r="Z185" s="87">
        <f t="shared" si="65"/>
        <v>6</v>
      </c>
      <c r="AA185" s="87">
        <v>0</v>
      </c>
      <c r="AB185" s="87">
        <v>0</v>
      </c>
      <c r="AC185" s="27">
        <f t="shared" si="57"/>
        <v>6</v>
      </c>
      <c r="AD185" s="26">
        <v>0</v>
      </c>
      <c r="AE185" s="26">
        <v>0</v>
      </c>
      <c r="AF185" s="26">
        <f t="shared" si="72"/>
        <v>6</v>
      </c>
      <c r="AG185" s="34">
        <v>0</v>
      </c>
      <c r="AH185" s="34">
        <v>0</v>
      </c>
      <c r="AI185" s="34">
        <f t="shared" si="73"/>
        <v>6</v>
      </c>
    </row>
    <row r="186" spans="1:35" x14ac:dyDescent="0.25">
      <c r="A186" s="163" t="s">
        <v>241</v>
      </c>
      <c r="B186" s="162" t="s">
        <v>74</v>
      </c>
      <c r="C186" s="32">
        <v>250</v>
      </c>
      <c r="D186" s="32">
        <v>200</v>
      </c>
      <c r="E186" s="33">
        <v>0</v>
      </c>
      <c r="F186" s="33">
        <v>0</v>
      </c>
      <c r="G186" s="33">
        <f t="shared" si="68"/>
        <v>200</v>
      </c>
      <c r="H186" s="32">
        <v>0</v>
      </c>
      <c r="I186" s="33">
        <v>0</v>
      </c>
      <c r="J186" s="33">
        <v>0</v>
      </c>
      <c r="K186" s="33">
        <f t="shared" si="69"/>
        <v>200</v>
      </c>
      <c r="L186" s="32">
        <v>0</v>
      </c>
      <c r="M186" s="32">
        <v>0</v>
      </c>
      <c r="N186" s="33">
        <f t="shared" si="70"/>
        <v>200</v>
      </c>
      <c r="O186" s="33">
        <v>200</v>
      </c>
      <c r="P186" s="33">
        <v>0</v>
      </c>
      <c r="Q186" s="33">
        <v>0</v>
      </c>
      <c r="R186" s="31">
        <f>O186+P186+Q186</f>
        <v>200</v>
      </c>
      <c r="S186" s="32">
        <v>0</v>
      </c>
      <c r="T186" s="33">
        <v>0</v>
      </c>
      <c r="U186" s="35">
        <f t="shared" si="71"/>
        <v>200</v>
      </c>
      <c r="V186" s="34">
        <v>200</v>
      </c>
      <c r="W186" s="34">
        <v>0</v>
      </c>
      <c r="X186" s="35">
        <v>0</v>
      </c>
      <c r="Y186" s="34">
        <v>0</v>
      </c>
      <c r="Z186" s="87">
        <f t="shared" si="65"/>
        <v>200</v>
      </c>
      <c r="AA186" s="87">
        <v>0</v>
      </c>
      <c r="AB186" s="87">
        <v>0</v>
      </c>
      <c r="AC186" s="27">
        <f t="shared" si="57"/>
        <v>200</v>
      </c>
      <c r="AD186" s="26">
        <v>0</v>
      </c>
      <c r="AE186" s="26">
        <v>0</v>
      </c>
      <c r="AF186" s="26">
        <f t="shared" si="72"/>
        <v>200</v>
      </c>
      <c r="AG186" s="34">
        <v>0</v>
      </c>
      <c r="AH186" s="34">
        <v>0</v>
      </c>
      <c r="AI186" s="34">
        <f t="shared" si="73"/>
        <v>200</v>
      </c>
    </row>
    <row r="187" spans="1:35" ht="15.75" customHeight="1" x14ac:dyDescent="0.25">
      <c r="A187" s="163" t="s">
        <v>242</v>
      </c>
      <c r="B187" s="162" t="s">
        <v>67</v>
      </c>
      <c r="C187" s="32"/>
      <c r="D187" s="32"/>
      <c r="E187" s="33"/>
      <c r="F187" s="33"/>
      <c r="G187" s="33"/>
      <c r="H187" s="32"/>
      <c r="I187" s="33"/>
      <c r="J187" s="33"/>
      <c r="K187" s="33"/>
      <c r="L187" s="32"/>
      <c r="M187" s="32"/>
      <c r="N187" s="33"/>
      <c r="O187" s="33">
        <v>0</v>
      </c>
      <c r="P187" s="33">
        <v>0</v>
      </c>
      <c r="Q187" s="33">
        <v>400</v>
      </c>
      <c r="R187" s="31">
        <f>O187+P187+Q187</f>
        <v>400</v>
      </c>
      <c r="S187" s="32">
        <v>0</v>
      </c>
      <c r="T187" s="33">
        <v>0</v>
      </c>
      <c r="U187" s="33">
        <f t="shared" si="71"/>
        <v>400</v>
      </c>
      <c r="V187" s="34">
        <v>900</v>
      </c>
      <c r="W187" s="34">
        <v>0</v>
      </c>
      <c r="X187" s="35">
        <v>0</v>
      </c>
      <c r="Y187" s="34">
        <v>0</v>
      </c>
      <c r="Z187" s="87">
        <f t="shared" si="65"/>
        <v>900</v>
      </c>
      <c r="AA187" s="87">
        <v>0</v>
      </c>
      <c r="AB187" s="87">
        <v>0</v>
      </c>
      <c r="AC187" s="27">
        <f t="shared" si="57"/>
        <v>900</v>
      </c>
      <c r="AD187" s="26">
        <v>0</v>
      </c>
      <c r="AE187" s="26">
        <v>0</v>
      </c>
      <c r="AF187" s="26">
        <f t="shared" si="72"/>
        <v>900</v>
      </c>
      <c r="AG187" s="34">
        <v>0</v>
      </c>
      <c r="AH187" s="34">
        <v>0</v>
      </c>
      <c r="AI187" s="34">
        <f t="shared" si="73"/>
        <v>900</v>
      </c>
    </row>
    <row r="188" spans="1:35" ht="28.5" customHeight="1" thickBot="1" x14ac:dyDescent="0.3">
      <c r="A188" s="36" t="s">
        <v>243</v>
      </c>
      <c r="B188" s="147"/>
      <c r="C188" s="41">
        <v>85090.63</v>
      </c>
      <c r="D188" s="41">
        <v>91266</v>
      </c>
      <c r="E188" s="42">
        <v>230</v>
      </c>
      <c r="F188" s="42">
        <f>150+579</f>
        <v>729</v>
      </c>
      <c r="G188" s="42">
        <f t="shared" si="68"/>
        <v>92225</v>
      </c>
      <c r="H188" s="41">
        <v>0</v>
      </c>
      <c r="I188" s="42">
        <v>0</v>
      </c>
      <c r="J188" s="42">
        <v>-100</v>
      </c>
      <c r="K188" s="42">
        <f t="shared" si="69"/>
        <v>92125</v>
      </c>
      <c r="L188" s="41">
        <v>0</v>
      </c>
      <c r="M188" s="41">
        <v>500</v>
      </c>
      <c r="N188" s="42">
        <f t="shared" si="70"/>
        <v>92625</v>
      </c>
      <c r="O188" s="42">
        <v>95743</v>
      </c>
      <c r="P188" s="42">
        <f>850</f>
        <v>850</v>
      </c>
      <c r="Q188" s="42">
        <v>2599</v>
      </c>
      <c r="R188" s="39">
        <f>O188+P188+Q188+55.6</f>
        <v>99247.6</v>
      </c>
      <c r="S188" s="41">
        <v>8000</v>
      </c>
      <c r="T188" s="42">
        <f>300</f>
        <v>300</v>
      </c>
      <c r="U188" s="42">
        <f t="shared" si="71"/>
        <v>107547.6</v>
      </c>
      <c r="V188" s="44">
        <v>101917</v>
      </c>
      <c r="W188" s="44">
        <f>7.5+24.45+1445</f>
        <v>1476.95</v>
      </c>
      <c r="X188" s="45">
        <v>0</v>
      </c>
      <c r="Y188" s="44">
        <f>-500</f>
        <v>-500</v>
      </c>
      <c r="Z188" s="181">
        <f t="shared" si="65"/>
        <v>102893.95</v>
      </c>
      <c r="AA188" s="181">
        <f>-2199</f>
        <v>-2199</v>
      </c>
      <c r="AB188" s="181">
        <f>15.1+100</f>
        <v>115.1</v>
      </c>
      <c r="AC188" s="45">
        <f t="shared" si="57"/>
        <v>100810.05</v>
      </c>
      <c r="AD188" s="44">
        <v>-2650</v>
      </c>
      <c r="AE188" s="44">
        <f>81</f>
        <v>81</v>
      </c>
      <c r="AF188" s="44">
        <f t="shared" si="72"/>
        <v>98241.05</v>
      </c>
      <c r="AG188" s="44">
        <f>-1787</f>
        <v>-1787</v>
      </c>
      <c r="AH188" s="44">
        <v>0</v>
      </c>
      <c r="AI188" s="44">
        <f>SUM(AF188:AH188)</f>
        <v>96454.05</v>
      </c>
    </row>
    <row r="189" spans="1:35" ht="15.75" thickBot="1" x14ac:dyDescent="0.3">
      <c r="A189" s="165" t="s">
        <v>244</v>
      </c>
      <c r="B189" s="155"/>
      <c r="C189" s="183">
        <f t="shared" ref="C189:J189" si="74">C191+C192</f>
        <v>9287.4</v>
      </c>
      <c r="D189" s="183">
        <f t="shared" si="74"/>
        <v>7000</v>
      </c>
      <c r="E189" s="183">
        <f t="shared" si="74"/>
        <v>1785</v>
      </c>
      <c r="F189" s="183">
        <f t="shared" si="74"/>
        <v>1512.7</v>
      </c>
      <c r="G189" s="183">
        <f t="shared" si="74"/>
        <v>10225.700000000001</v>
      </c>
      <c r="H189" s="183">
        <f t="shared" si="74"/>
        <v>0</v>
      </c>
      <c r="I189" s="183">
        <f t="shared" si="74"/>
        <v>0</v>
      </c>
      <c r="J189" s="183">
        <f t="shared" si="74"/>
        <v>0</v>
      </c>
      <c r="K189" s="156">
        <f>G189+H189+I189+J189</f>
        <v>10225.700000000001</v>
      </c>
      <c r="L189" s="159">
        <f t="shared" ref="L189:R189" si="75">L191+L192</f>
        <v>32</v>
      </c>
      <c r="M189" s="159">
        <f t="shared" si="75"/>
        <v>5</v>
      </c>
      <c r="N189" s="156">
        <f t="shared" si="75"/>
        <v>10262.700000000001</v>
      </c>
      <c r="O189" s="156">
        <f t="shared" si="75"/>
        <v>8196</v>
      </c>
      <c r="P189" s="156">
        <f t="shared" si="75"/>
        <v>1585</v>
      </c>
      <c r="Q189" s="156">
        <f t="shared" si="75"/>
        <v>973.69</v>
      </c>
      <c r="R189" s="188">
        <f t="shared" si="75"/>
        <v>10726.69</v>
      </c>
      <c r="S189" s="158">
        <f t="shared" ref="S189:Y189" si="76">SUM(S191:S192)</f>
        <v>0</v>
      </c>
      <c r="T189" s="189">
        <f t="shared" si="76"/>
        <v>0</v>
      </c>
      <c r="U189" s="129">
        <f t="shared" si="76"/>
        <v>10726.69</v>
      </c>
      <c r="V189" s="128">
        <f t="shared" si="76"/>
        <v>8720</v>
      </c>
      <c r="W189" s="128">
        <f t="shared" si="76"/>
        <v>2486.15</v>
      </c>
      <c r="X189" s="129">
        <f t="shared" si="76"/>
        <v>0</v>
      </c>
      <c r="Y189" s="128">
        <f t="shared" si="76"/>
        <v>5</v>
      </c>
      <c r="Z189" s="182">
        <f t="shared" si="65"/>
        <v>11211.15</v>
      </c>
      <c r="AA189" s="182">
        <f>SUM(AA191:AA192)</f>
        <v>0</v>
      </c>
      <c r="AB189" s="182">
        <f>SUM(AB191:AB192)</f>
        <v>-28</v>
      </c>
      <c r="AC189" s="129">
        <f t="shared" si="57"/>
        <v>11183.15</v>
      </c>
      <c r="AD189" s="128">
        <f>SUM(AD191:AD192)</f>
        <v>-219</v>
      </c>
      <c r="AE189" s="128">
        <f>SUM(AE191:AE192)</f>
        <v>0</v>
      </c>
      <c r="AF189" s="128">
        <f>SUM(AF191:AF192)</f>
        <v>10964.15</v>
      </c>
      <c r="AG189" s="128">
        <f>SUM(AG191:AG192)</f>
        <v>-9000</v>
      </c>
      <c r="AH189" s="128">
        <f>SUM(AH191:AH192)</f>
        <v>0</v>
      </c>
      <c r="AI189" s="128">
        <f>SUM(AF189:AH189)</f>
        <v>1964.1499999999996</v>
      </c>
    </row>
    <row r="190" spans="1:35" ht="14.25" customHeight="1" x14ac:dyDescent="0.25">
      <c r="A190" s="167" t="s">
        <v>59</v>
      </c>
      <c r="B190" s="137"/>
      <c r="C190" s="24"/>
      <c r="D190" s="24"/>
      <c r="E190" s="25"/>
      <c r="F190" s="25"/>
      <c r="G190" s="25"/>
      <c r="H190" s="24"/>
      <c r="I190" s="25"/>
      <c r="J190" s="25"/>
      <c r="K190" s="131"/>
      <c r="L190" s="132"/>
      <c r="M190" s="132"/>
      <c r="N190" s="131"/>
      <c r="O190" s="131"/>
      <c r="P190" s="131"/>
      <c r="Q190" s="131"/>
      <c r="R190" s="131"/>
      <c r="S190" s="26"/>
      <c r="T190" s="27"/>
      <c r="U190" s="27"/>
      <c r="V190" s="26"/>
      <c r="W190" s="26"/>
      <c r="X190" s="27"/>
      <c r="Y190" s="26"/>
      <c r="Z190" s="74"/>
      <c r="AA190" s="74"/>
      <c r="AB190" s="74"/>
      <c r="AC190" s="27"/>
      <c r="AD190" s="26"/>
      <c r="AE190" s="26"/>
      <c r="AF190" s="26"/>
      <c r="AG190" s="26"/>
      <c r="AH190" s="26"/>
      <c r="AI190" s="26"/>
    </row>
    <row r="191" spans="1:35" ht="15" customHeight="1" x14ac:dyDescent="0.25">
      <c r="A191" s="163" t="s">
        <v>245</v>
      </c>
      <c r="B191" s="141"/>
      <c r="C191" s="32">
        <v>9287.4</v>
      </c>
      <c r="D191" s="32">
        <v>7000</v>
      </c>
      <c r="E191" s="33">
        <f>1920-188+5</f>
        <v>1737</v>
      </c>
      <c r="F191" s="33">
        <v>1323.5</v>
      </c>
      <c r="G191" s="33">
        <f>D191+E191+F191-72</f>
        <v>9988.5</v>
      </c>
      <c r="H191" s="32">
        <v>0</v>
      </c>
      <c r="I191" s="33">
        <v>0</v>
      </c>
      <c r="J191" s="33">
        <v>0</v>
      </c>
      <c r="K191" s="33">
        <f>G191+H191+I191+J191</f>
        <v>9988.5</v>
      </c>
      <c r="L191" s="32">
        <v>32</v>
      </c>
      <c r="M191" s="32">
        <v>0</v>
      </c>
      <c r="N191" s="33">
        <f>K191+L191+M191</f>
        <v>10020.5</v>
      </c>
      <c r="O191" s="33">
        <v>8000</v>
      </c>
      <c r="P191" s="33">
        <f>1632-92+40+5</f>
        <v>1585</v>
      </c>
      <c r="Q191" s="33">
        <v>949.69</v>
      </c>
      <c r="R191" s="33">
        <f>O191+P191+Q191-28</f>
        <v>10506.69</v>
      </c>
      <c r="S191" s="34">
        <v>0</v>
      </c>
      <c r="T191" s="35">
        <v>0</v>
      </c>
      <c r="U191" s="35">
        <f>SUM(R191:T191)</f>
        <v>10506.69</v>
      </c>
      <c r="V191" s="34">
        <v>8500</v>
      </c>
      <c r="W191" s="34">
        <f>1632-128+982.15</f>
        <v>2486.15</v>
      </c>
      <c r="X191" s="35">
        <v>0</v>
      </c>
      <c r="Y191" s="34">
        <f>5</f>
        <v>5</v>
      </c>
      <c r="Z191" s="87">
        <f t="shared" si="65"/>
        <v>10991.15</v>
      </c>
      <c r="AA191" s="87">
        <v>0</v>
      </c>
      <c r="AB191" s="87">
        <f>-28</f>
        <v>-28</v>
      </c>
      <c r="AC191" s="27">
        <f t="shared" si="57"/>
        <v>10963.15</v>
      </c>
      <c r="AD191" s="26">
        <v>0</v>
      </c>
      <c r="AE191" s="26">
        <v>0</v>
      </c>
      <c r="AF191" s="26">
        <f>SUM(AC191:AE191)</f>
        <v>10963.15</v>
      </c>
      <c r="AG191" s="34">
        <f>-9000</f>
        <v>-9000</v>
      </c>
      <c r="AH191" s="34">
        <v>0</v>
      </c>
      <c r="AI191" s="34">
        <f>SUM(AF191:AH191)</f>
        <v>1963.1499999999996</v>
      </c>
    </row>
    <row r="192" spans="1:35" ht="15" customHeight="1" thickBot="1" x14ac:dyDescent="0.3">
      <c r="A192" s="164" t="s">
        <v>246</v>
      </c>
      <c r="B192" s="147"/>
      <c r="C192" s="41">
        <v>0</v>
      </c>
      <c r="D192" s="41">
        <v>0</v>
      </c>
      <c r="E192" s="42">
        <f>48</f>
        <v>48</v>
      </c>
      <c r="F192" s="42">
        <v>189.2</v>
      </c>
      <c r="G192" s="42">
        <f>D192+E192+F192</f>
        <v>237.2</v>
      </c>
      <c r="H192" s="41">
        <v>0</v>
      </c>
      <c r="I192" s="42">
        <v>0</v>
      </c>
      <c r="J192" s="42">
        <v>0</v>
      </c>
      <c r="K192" s="42">
        <f>G192+H192+I192+J192</f>
        <v>237.2</v>
      </c>
      <c r="L192" s="41">
        <v>0</v>
      </c>
      <c r="M192" s="41">
        <v>5</v>
      </c>
      <c r="N192" s="42">
        <f>K192+L192+M192</f>
        <v>242.2</v>
      </c>
      <c r="O192" s="42">
        <v>196</v>
      </c>
      <c r="P192" s="42">
        <v>0</v>
      </c>
      <c r="Q192" s="42">
        <v>24</v>
      </c>
      <c r="R192" s="42">
        <f>O192+P192+Q192</f>
        <v>220</v>
      </c>
      <c r="S192" s="44">
        <v>0</v>
      </c>
      <c r="T192" s="45">
        <v>0</v>
      </c>
      <c r="U192" s="45">
        <f>SUM(R192:T192)</f>
        <v>220</v>
      </c>
      <c r="V192" s="44">
        <v>220</v>
      </c>
      <c r="W192" s="44">
        <f>V192-U192</f>
        <v>0</v>
      </c>
      <c r="X192" s="45">
        <v>0</v>
      </c>
      <c r="Y192" s="44">
        <v>0</v>
      </c>
      <c r="Z192" s="181">
        <f t="shared" si="65"/>
        <v>220</v>
      </c>
      <c r="AA192" s="181">
        <v>0</v>
      </c>
      <c r="AB192" s="181">
        <v>0</v>
      </c>
      <c r="AC192" s="45">
        <f t="shared" si="57"/>
        <v>220</v>
      </c>
      <c r="AD192" s="44">
        <v>-219</v>
      </c>
      <c r="AE192" s="44">
        <v>0</v>
      </c>
      <c r="AF192" s="44">
        <f>SUM(AC192:AE192)</f>
        <v>1</v>
      </c>
      <c r="AG192" s="44">
        <v>0</v>
      </c>
      <c r="AH192" s="44">
        <v>0</v>
      </c>
      <c r="AI192" s="34">
        <f>SUM(AF192:AH192)</f>
        <v>1</v>
      </c>
    </row>
    <row r="193" spans="1:35" ht="17.25" customHeight="1" thickBot="1" x14ac:dyDescent="0.3">
      <c r="A193" s="165" t="s">
        <v>247</v>
      </c>
      <c r="B193" s="155"/>
      <c r="C193" s="183">
        <f t="shared" ref="C193:AB193" si="77">SUM(C195:C250)</f>
        <v>72252.62999999999</v>
      </c>
      <c r="D193" s="183">
        <f t="shared" si="77"/>
        <v>75244.5</v>
      </c>
      <c r="E193" s="183">
        <f t="shared" si="77"/>
        <v>8.85</v>
      </c>
      <c r="F193" s="183">
        <f t="shared" si="77"/>
        <v>230</v>
      </c>
      <c r="G193" s="183">
        <f t="shared" si="77"/>
        <v>75463.350000000006</v>
      </c>
      <c r="H193" s="183">
        <f t="shared" si="77"/>
        <v>4745.32</v>
      </c>
      <c r="I193" s="183">
        <f t="shared" si="77"/>
        <v>0</v>
      </c>
      <c r="J193" s="183">
        <f t="shared" si="77"/>
        <v>149.44</v>
      </c>
      <c r="K193" s="183">
        <f t="shared" si="77"/>
        <v>80358.110000000015</v>
      </c>
      <c r="L193" s="183">
        <f t="shared" si="77"/>
        <v>0</v>
      </c>
      <c r="M193" s="183">
        <f t="shared" si="77"/>
        <v>-435.31</v>
      </c>
      <c r="N193" s="187">
        <f t="shared" si="77"/>
        <v>79922.8</v>
      </c>
      <c r="O193" s="156">
        <f t="shared" si="77"/>
        <v>89689</v>
      </c>
      <c r="P193" s="156">
        <f t="shared" si="77"/>
        <v>421.33</v>
      </c>
      <c r="Q193" s="156">
        <f t="shared" si="77"/>
        <v>230</v>
      </c>
      <c r="R193" s="188">
        <f t="shared" si="77"/>
        <v>90567.83</v>
      </c>
      <c r="S193" s="158">
        <f t="shared" si="77"/>
        <v>-144.13000000000011</v>
      </c>
      <c r="T193" s="189">
        <f t="shared" si="77"/>
        <v>70.3</v>
      </c>
      <c r="U193" s="128">
        <f t="shared" si="77"/>
        <v>90498.5</v>
      </c>
      <c r="V193" s="128">
        <f t="shared" si="77"/>
        <v>101693</v>
      </c>
      <c r="W193" s="128">
        <f t="shared" si="77"/>
        <v>1153.17</v>
      </c>
      <c r="X193" s="129">
        <f t="shared" si="77"/>
        <v>0</v>
      </c>
      <c r="Y193" s="128">
        <f t="shared" si="77"/>
        <v>44000</v>
      </c>
      <c r="Z193" s="182">
        <f t="shared" si="77"/>
        <v>146846.17000000001</v>
      </c>
      <c r="AA193" s="182">
        <f t="shared" si="77"/>
        <v>-5890.15</v>
      </c>
      <c r="AB193" s="182">
        <f t="shared" si="77"/>
        <v>6097.16</v>
      </c>
      <c r="AC193" s="129">
        <f t="shared" si="57"/>
        <v>147053.18000000002</v>
      </c>
      <c r="AD193" s="128">
        <f>SUM(AD195:AD250)</f>
        <v>-3003.6099999999997</v>
      </c>
      <c r="AE193" s="128">
        <f>SUM(AE195:AE250)</f>
        <v>6225.96</v>
      </c>
      <c r="AF193" s="128">
        <f>SUM(AF195:AF250)</f>
        <v>153087.47000000003</v>
      </c>
      <c r="AG193" s="128">
        <f>SUM(AG195:AG250)</f>
        <v>-432.5</v>
      </c>
      <c r="AH193" s="128">
        <f>SUM(AH195:AH250)</f>
        <v>-462.74</v>
      </c>
      <c r="AI193" s="128">
        <f>SUM(AF193:AH193)</f>
        <v>152192.23000000004</v>
      </c>
    </row>
    <row r="194" spans="1:35" ht="15" customHeight="1" x14ac:dyDescent="0.25">
      <c r="A194" s="167" t="s">
        <v>59</v>
      </c>
      <c r="B194" s="137"/>
      <c r="C194" s="24"/>
      <c r="D194" s="24"/>
      <c r="E194" s="25"/>
      <c r="F194" s="25"/>
      <c r="G194" s="25"/>
      <c r="H194" s="24"/>
      <c r="I194" s="25"/>
      <c r="J194" s="25"/>
      <c r="K194" s="131"/>
      <c r="L194" s="132"/>
      <c r="M194" s="132"/>
      <c r="N194" s="131"/>
      <c r="O194" s="131"/>
      <c r="P194" s="131"/>
      <c r="Q194" s="131"/>
      <c r="R194" s="131"/>
      <c r="S194" s="26"/>
      <c r="T194" s="27"/>
      <c r="U194" s="27"/>
      <c r="V194" s="26"/>
      <c r="W194" s="26"/>
      <c r="X194" s="27"/>
      <c r="Y194" s="26"/>
      <c r="Z194" s="74"/>
      <c r="AA194" s="74"/>
      <c r="AB194" s="74"/>
      <c r="AC194" s="27"/>
      <c r="AD194" s="26"/>
      <c r="AE194" s="26"/>
      <c r="AF194" s="26"/>
      <c r="AG194" s="26"/>
      <c r="AH194" s="26"/>
      <c r="AI194" s="26"/>
    </row>
    <row r="195" spans="1:35" ht="15" customHeight="1" x14ac:dyDescent="0.25">
      <c r="A195" s="163" t="s">
        <v>248</v>
      </c>
      <c r="B195" s="141"/>
      <c r="C195" s="32">
        <v>431</v>
      </c>
      <c r="D195" s="32">
        <v>0</v>
      </c>
      <c r="E195" s="33">
        <v>0</v>
      </c>
      <c r="F195" s="33">
        <v>0</v>
      </c>
      <c r="G195" s="33">
        <f>D195+E195+F195+80</f>
        <v>80</v>
      </c>
      <c r="H195" s="32">
        <v>0</v>
      </c>
      <c r="I195" s="33">
        <v>0</v>
      </c>
      <c r="J195" s="33">
        <v>149.44</v>
      </c>
      <c r="K195" s="33">
        <f>G195+H195+I195+J195</f>
        <v>229.44</v>
      </c>
      <c r="L195" s="32">
        <v>0</v>
      </c>
      <c r="M195" s="32">
        <v>-149.44</v>
      </c>
      <c r="N195" s="33">
        <f>K195+L195+M195</f>
        <v>80</v>
      </c>
      <c r="O195" s="33">
        <v>0</v>
      </c>
      <c r="P195" s="33">
        <f>421.33</f>
        <v>421.33</v>
      </c>
      <c r="Q195" s="33">
        <v>0</v>
      </c>
      <c r="R195" s="33">
        <f>O195+P195+Q195+152+80</f>
        <v>653.32999999999993</v>
      </c>
      <c r="S195" s="34">
        <v>0</v>
      </c>
      <c r="T195" s="35">
        <f>70.3</f>
        <v>70.3</v>
      </c>
      <c r="U195" s="35">
        <f>SUM(R195:T195)</f>
        <v>723.62999999999988</v>
      </c>
      <c r="V195" s="34">
        <v>1158</v>
      </c>
      <c r="W195" s="34">
        <f>126.48</f>
        <v>126.48</v>
      </c>
      <c r="X195" s="35">
        <v>0</v>
      </c>
      <c r="Y195" s="34">
        <v>0</v>
      </c>
      <c r="Z195" s="87">
        <f t="shared" si="65"/>
        <v>1284.48</v>
      </c>
      <c r="AA195" s="87">
        <v>0</v>
      </c>
      <c r="AB195" s="87">
        <f>14-157.31</f>
        <v>-143.31</v>
      </c>
      <c r="AC195" s="27">
        <f t="shared" si="57"/>
        <v>1141.17</v>
      </c>
      <c r="AD195" s="26">
        <v>0</v>
      </c>
      <c r="AE195" s="26">
        <f>7.87</f>
        <v>7.87</v>
      </c>
      <c r="AF195" s="26">
        <f>SUM(AC195:AE195)</f>
        <v>1149.04</v>
      </c>
      <c r="AG195" s="34">
        <v>0</v>
      </c>
      <c r="AH195" s="34">
        <f>-467.91</f>
        <v>-467.91</v>
      </c>
      <c r="AI195" s="34">
        <f>SUM(AF195:AH195)</f>
        <v>681.12999999999988</v>
      </c>
    </row>
    <row r="196" spans="1:35" ht="24.75" customHeight="1" x14ac:dyDescent="0.25">
      <c r="A196" s="28" t="s">
        <v>249</v>
      </c>
      <c r="B196" s="162" t="s">
        <v>250</v>
      </c>
      <c r="C196" s="32">
        <v>9350</v>
      </c>
      <c r="D196" s="32">
        <v>10300</v>
      </c>
      <c r="E196" s="33">
        <v>0</v>
      </c>
      <c r="F196" s="33">
        <v>0</v>
      </c>
      <c r="G196" s="33">
        <f t="shared" ref="G196:G206" si="78">D196+E196+F196</f>
        <v>10300</v>
      </c>
      <c r="H196" s="32">
        <v>0</v>
      </c>
      <c r="I196" s="33">
        <v>0</v>
      </c>
      <c r="J196" s="33">
        <v>0</v>
      </c>
      <c r="K196" s="33">
        <f t="shared" ref="K196:K250" si="79">G196+H196+I196+J196</f>
        <v>10300</v>
      </c>
      <c r="L196" s="32">
        <v>0</v>
      </c>
      <c r="M196" s="32">
        <v>0</v>
      </c>
      <c r="N196" s="33">
        <f t="shared" ref="N196:N237" si="80">K196+L196+M196</f>
        <v>10300</v>
      </c>
      <c r="O196" s="33">
        <v>11000</v>
      </c>
      <c r="P196" s="33">
        <v>0</v>
      </c>
      <c r="Q196" s="33">
        <v>0</v>
      </c>
      <c r="R196" s="33">
        <f t="shared" ref="R196:R206" si="81">O196+P196+Q196</f>
        <v>11000</v>
      </c>
      <c r="S196" s="32">
        <v>0</v>
      </c>
      <c r="T196" s="33">
        <v>0</v>
      </c>
      <c r="U196" s="33">
        <f t="shared" ref="U196:U217" si="82">SUM(R196:T196)</f>
        <v>11000</v>
      </c>
      <c r="V196" s="34">
        <v>12000</v>
      </c>
      <c r="W196" s="34">
        <v>0</v>
      </c>
      <c r="X196" s="35">
        <v>0</v>
      </c>
      <c r="Y196" s="34">
        <v>0</v>
      </c>
      <c r="Z196" s="87">
        <f t="shared" si="65"/>
        <v>12000</v>
      </c>
      <c r="AA196" s="87">
        <v>0</v>
      </c>
      <c r="AB196" s="87">
        <v>0</v>
      </c>
      <c r="AC196" s="27">
        <f t="shared" si="57"/>
        <v>12000</v>
      </c>
      <c r="AD196" s="26">
        <v>0</v>
      </c>
      <c r="AE196" s="26">
        <v>0</v>
      </c>
      <c r="AF196" s="26">
        <f t="shared" ref="AF196:AF247" si="83">SUM(AC196:AE196)</f>
        <v>12000</v>
      </c>
      <c r="AG196" s="34">
        <v>0</v>
      </c>
      <c r="AH196" s="34">
        <v>0</v>
      </c>
      <c r="AI196" s="34">
        <f t="shared" ref="AI196:AI249" si="84">SUM(AF196:AH196)</f>
        <v>12000</v>
      </c>
    </row>
    <row r="197" spans="1:35" ht="27" customHeight="1" x14ac:dyDescent="0.25">
      <c r="A197" s="28" t="s">
        <v>251</v>
      </c>
      <c r="B197" s="162" t="s">
        <v>252</v>
      </c>
      <c r="C197" s="32">
        <v>555.20000000000005</v>
      </c>
      <c r="D197" s="32">
        <v>800</v>
      </c>
      <c r="E197" s="33">
        <v>0</v>
      </c>
      <c r="F197" s="33">
        <v>0</v>
      </c>
      <c r="G197" s="33">
        <f t="shared" si="78"/>
        <v>800</v>
      </c>
      <c r="H197" s="32">
        <v>0</v>
      </c>
      <c r="I197" s="33">
        <v>0</v>
      </c>
      <c r="J197" s="33">
        <v>0</v>
      </c>
      <c r="K197" s="33">
        <f t="shared" si="79"/>
        <v>800</v>
      </c>
      <c r="L197" s="32">
        <v>0</v>
      </c>
      <c r="M197" s="32">
        <v>0</v>
      </c>
      <c r="N197" s="33">
        <f t="shared" si="80"/>
        <v>800</v>
      </c>
      <c r="O197" s="33">
        <v>800</v>
      </c>
      <c r="P197" s="33">
        <v>0</v>
      </c>
      <c r="Q197" s="33">
        <v>0</v>
      </c>
      <c r="R197" s="33">
        <f t="shared" si="81"/>
        <v>800</v>
      </c>
      <c r="S197" s="32">
        <v>0</v>
      </c>
      <c r="T197" s="33">
        <v>0</v>
      </c>
      <c r="U197" s="33">
        <f t="shared" si="82"/>
        <v>800</v>
      </c>
      <c r="V197" s="34">
        <v>1000</v>
      </c>
      <c r="W197" s="34">
        <f>-415.6</f>
        <v>-415.6</v>
      </c>
      <c r="X197" s="35">
        <v>0</v>
      </c>
      <c r="Y197" s="34">
        <v>0</v>
      </c>
      <c r="Z197" s="35">
        <f>SUM(V197:Y197)</f>
        <v>584.4</v>
      </c>
      <c r="AA197" s="35">
        <v>0</v>
      </c>
      <c r="AB197" s="35">
        <v>0</v>
      </c>
      <c r="AC197" s="27">
        <f t="shared" si="57"/>
        <v>584.4</v>
      </c>
      <c r="AD197" s="26">
        <v>0</v>
      </c>
      <c r="AE197" s="26">
        <v>0</v>
      </c>
      <c r="AF197" s="26">
        <f t="shared" si="83"/>
        <v>584.4</v>
      </c>
      <c r="AG197" s="34">
        <v>0</v>
      </c>
      <c r="AH197" s="34">
        <v>0</v>
      </c>
      <c r="AI197" s="34">
        <f t="shared" si="84"/>
        <v>584.4</v>
      </c>
    </row>
    <row r="198" spans="1:35" ht="24.75" customHeight="1" x14ac:dyDescent="0.25">
      <c r="A198" s="28" t="s">
        <v>253</v>
      </c>
      <c r="B198" s="162" t="s">
        <v>254</v>
      </c>
      <c r="C198" s="32">
        <v>800</v>
      </c>
      <c r="D198" s="32">
        <v>800</v>
      </c>
      <c r="E198" s="33">
        <v>0</v>
      </c>
      <c r="F198" s="33">
        <v>-4.9000000000000004</v>
      </c>
      <c r="G198" s="33">
        <f t="shared" si="78"/>
        <v>795.1</v>
      </c>
      <c r="H198" s="32">
        <v>0</v>
      </c>
      <c r="I198" s="33">
        <v>0</v>
      </c>
      <c r="J198" s="33">
        <v>0</v>
      </c>
      <c r="K198" s="33">
        <f t="shared" si="79"/>
        <v>795.1</v>
      </c>
      <c r="L198" s="32">
        <v>0</v>
      </c>
      <c r="M198" s="32">
        <v>0</v>
      </c>
      <c r="N198" s="33">
        <f t="shared" si="80"/>
        <v>795.1</v>
      </c>
      <c r="O198" s="33">
        <v>800</v>
      </c>
      <c r="P198" s="33">
        <v>0</v>
      </c>
      <c r="Q198" s="33">
        <v>0</v>
      </c>
      <c r="R198" s="33">
        <f t="shared" si="81"/>
        <v>800</v>
      </c>
      <c r="S198" s="32">
        <v>0</v>
      </c>
      <c r="T198" s="33">
        <v>0</v>
      </c>
      <c r="U198" s="33">
        <f t="shared" si="82"/>
        <v>800</v>
      </c>
      <c r="V198" s="34">
        <v>1000</v>
      </c>
      <c r="W198" s="34">
        <f>-249</f>
        <v>-249</v>
      </c>
      <c r="X198" s="35">
        <v>0</v>
      </c>
      <c r="Y198" s="34">
        <v>0</v>
      </c>
      <c r="Z198" s="35">
        <f t="shared" ref="Z198:AB288" si="85">SUM(V198:Y198)</f>
        <v>751</v>
      </c>
      <c r="AA198" s="35">
        <v>0</v>
      </c>
      <c r="AB198" s="35">
        <v>0</v>
      </c>
      <c r="AC198" s="27">
        <f t="shared" si="57"/>
        <v>751</v>
      </c>
      <c r="AD198" s="26">
        <v>0</v>
      </c>
      <c r="AE198" s="26">
        <v>0</v>
      </c>
      <c r="AF198" s="26">
        <f t="shared" si="83"/>
        <v>751</v>
      </c>
      <c r="AG198" s="34">
        <v>0</v>
      </c>
      <c r="AH198" s="34">
        <v>0</v>
      </c>
      <c r="AI198" s="34">
        <f t="shared" si="84"/>
        <v>751</v>
      </c>
    </row>
    <row r="199" spans="1:35" ht="54" customHeight="1" x14ac:dyDescent="0.25">
      <c r="A199" s="28" t="s">
        <v>255</v>
      </c>
      <c r="B199" s="162" t="s">
        <v>88</v>
      </c>
      <c r="C199" s="32">
        <v>6725</v>
      </c>
      <c r="D199" s="32">
        <v>6475</v>
      </c>
      <c r="E199" s="33">
        <v>0</v>
      </c>
      <c r="F199" s="33">
        <v>0</v>
      </c>
      <c r="G199" s="33">
        <f t="shared" si="78"/>
        <v>6475</v>
      </c>
      <c r="H199" s="32">
        <v>1980</v>
      </c>
      <c r="I199" s="33">
        <v>0</v>
      </c>
      <c r="J199" s="33">
        <v>0</v>
      </c>
      <c r="K199" s="33">
        <f t="shared" si="79"/>
        <v>8455</v>
      </c>
      <c r="L199" s="32">
        <v>0</v>
      </c>
      <c r="M199" s="32">
        <v>0</v>
      </c>
      <c r="N199" s="33">
        <f t="shared" si="80"/>
        <v>8455</v>
      </c>
      <c r="O199" s="33">
        <v>10059</v>
      </c>
      <c r="P199" s="33">
        <v>0</v>
      </c>
      <c r="Q199" s="33">
        <v>0</v>
      </c>
      <c r="R199" s="33">
        <f t="shared" si="81"/>
        <v>10059</v>
      </c>
      <c r="S199" s="32">
        <v>600</v>
      </c>
      <c r="T199" s="33">
        <v>0</v>
      </c>
      <c r="U199" s="33">
        <f t="shared" si="82"/>
        <v>10659</v>
      </c>
      <c r="V199" s="34">
        <v>10659</v>
      </c>
      <c r="W199" s="34">
        <f>V199-U199</f>
        <v>0</v>
      </c>
      <c r="X199" s="35">
        <v>0</v>
      </c>
      <c r="Y199" s="34">
        <v>0</v>
      </c>
      <c r="Z199" s="35">
        <f t="shared" si="85"/>
        <v>10659</v>
      </c>
      <c r="AA199" s="35">
        <v>0</v>
      </c>
      <c r="AB199" s="35">
        <v>0</v>
      </c>
      <c r="AC199" s="27">
        <f t="shared" si="57"/>
        <v>10659</v>
      </c>
      <c r="AD199" s="26">
        <v>0</v>
      </c>
      <c r="AE199" s="26">
        <v>0</v>
      </c>
      <c r="AF199" s="26">
        <f t="shared" si="83"/>
        <v>10659</v>
      </c>
      <c r="AG199" s="34">
        <f>900</f>
        <v>900</v>
      </c>
      <c r="AH199" s="34">
        <v>0</v>
      </c>
      <c r="AI199" s="34">
        <f t="shared" si="84"/>
        <v>11559</v>
      </c>
    </row>
    <row r="200" spans="1:35" ht="13.5" customHeight="1" x14ac:dyDescent="0.25">
      <c r="A200" s="36" t="s">
        <v>256</v>
      </c>
      <c r="B200" s="162" t="s">
        <v>257</v>
      </c>
      <c r="C200" s="41"/>
      <c r="D200" s="41"/>
      <c r="E200" s="42"/>
      <c r="F200" s="42"/>
      <c r="G200" s="42"/>
      <c r="H200" s="41"/>
      <c r="I200" s="42"/>
      <c r="J200" s="42"/>
      <c r="K200" s="42"/>
      <c r="L200" s="41"/>
      <c r="M200" s="41"/>
      <c r="N200" s="42"/>
      <c r="O200" s="42"/>
      <c r="P200" s="42"/>
      <c r="Q200" s="42"/>
      <c r="R200" s="33"/>
      <c r="S200" s="41"/>
      <c r="T200" s="42"/>
      <c r="U200" s="33"/>
      <c r="V200" s="34">
        <v>0</v>
      </c>
      <c r="W200" s="34"/>
      <c r="X200" s="35"/>
      <c r="Y200" s="34"/>
      <c r="Z200" s="35">
        <v>0</v>
      </c>
      <c r="AA200" s="35">
        <v>0</v>
      </c>
      <c r="AB200" s="35">
        <f>6.99</f>
        <v>6.99</v>
      </c>
      <c r="AC200" s="27">
        <f>Z200+AA200+AB200</f>
        <v>6.99</v>
      </c>
      <c r="AD200" s="26">
        <v>0</v>
      </c>
      <c r="AE200" s="26">
        <v>0</v>
      </c>
      <c r="AF200" s="26">
        <f t="shared" si="83"/>
        <v>6.99</v>
      </c>
      <c r="AG200" s="34">
        <v>0</v>
      </c>
      <c r="AH200" s="34">
        <v>0</v>
      </c>
      <c r="AI200" s="34">
        <f t="shared" si="84"/>
        <v>6.99</v>
      </c>
    </row>
    <row r="201" spans="1:35" ht="15" customHeight="1" x14ac:dyDescent="0.25">
      <c r="A201" s="36" t="s">
        <v>258</v>
      </c>
      <c r="B201" s="162" t="s">
        <v>88</v>
      </c>
      <c r="C201" s="41"/>
      <c r="D201" s="41"/>
      <c r="E201" s="42"/>
      <c r="F201" s="42"/>
      <c r="G201" s="42"/>
      <c r="H201" s="41"/>
      <c r="I201" s="42"/>
      <c r="J201" s="42"/>
      <c r="K201" s="42"/>
      <c r="L201" s="41"/>
      <c r="M201" s="41"/>
      <c r="N201" s="42"/>
      <c r="O201" s="42"/>
      <c r="P201" s="42"/>
      <c r="Q201" s="42"/>
      <c r="R201" s="33"/>
      <c r="S201" s="41"/>
      <c r="T201" s="42"/>
      <c r="U201" s="33"/>
      <c r="V201" s="34">
        <v>0</v>
      </c>
      <c r="W201" s="34"/>
      <c r="X201" s="35"/>
      <c r="Y201" s="34"/>
      <c r="Z201" s="35">
        <v>0</v>
      </c>
      <c r="AA201" s="35">
        <v>0</v>
      </c>
      <c r="AB201" s="35">
        <f>250</f>
        <v>250</v>
      </c>
      <c r="AC201" s="27">
        <f>Z201+AA201+AB201</f>
        <v>250</v>
      </c>
      <c r="AD201" s="26">
        <v>0</v>
      </c>
      <c r="AE201" s="26">
        <v>0</v>
      </c>
      <c r="AF201" s="26">
        <f t="shared" si="83"/>
        <v>250</v>
      </c>
      <c r="AG201" s="34">
        <v>0</v>
      </c>
      <c r="AH201" s="34">
        <v>0</v>
      </c>
      <c r="AI201" s="34">
        <f t="shared" si="84"/>
        <v>250</v>
      </c>
    </row>
    <row r="202" spans="1:35" ht="12.75" customHeight="1" x14ac:dyDescent="0.25">
      <c r="A202" s="28" t="s">
        <v>259</v>
      </c>
      <c r="B202" s="162" t="s">
        <v>88</v>
      </c>
      <c r="C202" s="32"/>
      <c r="D202" s="32"/>
      <c r="E202" s="33"/>
      <c r="F202" s="33"/>
      <c r="G202" s="33"/>
      <c r="H202" s="32"/>
      <c r="I202" s="33"/>
      <c r="J202" s="33"/>
      <c r="K202" s="33"/>
      <c r="L202" s="32"/>
      <c r="M202" s="32"/>
      <c r="N202" s="33"/>
      <c r="O202" s="33"/>
      <c r="P202" s="33"/>
      <c r="Q202" s="33"/>
      <c r="R202" s="33"/>
      <c r="S202" s="32"/>
      <c r="T202" s="33"/>
      <c r="U202" s="33"/>
      <c r="V202" s="34">
        <v>0</v>
      </c>
      <c r="W202" s="34">
        <v>0</v>
      </c>
      <c r="X202" s="35">
        <v>0</v>
      </c>
      <c r="Y202" s="34">
        <f>4478</f>
        <v>4478</v>
      </c>
      <c r="Z202" s="35">
        <f t="shared" ref="Z202" si="86">SUM(V202:Y202)</f>
        <v>4478</v>
      </c>
      <c r="AA202" s="35">
        <v>0</v>
      </c>
      <c r="AB202" s="35">
        <v>0</v>
      </c>
      <c r="AC202" s="35">
        <f t="shared" si="57"/>
        <v>4478</v>
      </c>
      <c r="AD202" s="34">
        <v>0</v>
      </c>
      <c r="AE202" s="34">
        <f>34</f>
        <v>34</v>
      </c>
      <c r="AF202" s="26">
        <f t="shared" si="83"/>
        <v>4512</v>
      </c>
      <c r="AG202" s="34">
        <v>0</v>
      </c>
      <c r="AH202" s="34">
        <v>0</v>
      </c>
      <c r="AI202" s="34">
        <f t="shared" si="84"/>
        <v>4512</v>
      </c>
    </row>
    <row r="203" spans="1:35" ht="16.5" customHeight="1" x14ac:dyDescent="0.25">
      <c r="A203" s="28" t="s">
        <v>260</v>
      </c>
      <c r="B203" s="176" t="s">
        <v>261</v>
      </c>
      <c r="C203" s="32"/>
      <c r="D203" s="32"/>
      <c r="E203" s="33"/>
      <c r="F203" s="33"/>
      <c r="G203" s="33"/>
      <c r="H203" s="32"/>
      <c r="I203" s="33"/>
      <c r="J203" s="33"/>
      <c r="K203" s="33"/>
      <c r="L203" s="32"/>
      <c r="M203" s="32"/>
      <c r="N203" s="33"/>
      <c r="O203" s="33"/>
      <c r="P203" s="33"/>
      <c r="Q203" s="33"/>
      <c r="R203" s="33"/>
      <c r="S203" s="32"/>
      <c r="T203" s="33"/>
      <c r="U203" s="33"/>
      <c r="V203" s="34">
        <v>0</v>
      </c>
      <c r="W203" s="34"/>
      <c r="X203" s="35"/>
      <c r="Y203" s="34"/>
      <c r="Z203" s="35">
        <v>0</v>
      </c>
      <c r="AA203" s="35">
        <v>0</v>
      </c>
      <c r="AB203" s="35">
        <v>668.28</v>
      </c>
      <c r="AC203" s="27">
        <f t="shared" si="57"/>
        <v>668.28</v>
      </c>
      <c r="AD203" s="26">
        <v>0</v>
      </c>
      <c r="AE203" s="26">
        <f>312.2</f>
        <v>312.2</v>
      </c>
      <c r="AF203" s="26">
        <f>SUM(AC203:AE203)+269.83</f>
        <v>1250.31</v>
      </c>
      <c r="AG203" s="34">
        <v>0</v>
      </c>
      <c r="AH203" s="34">
        <v>0</v>
      </c>
      <c r="AI203" s="34">
        <f t="shared" si="84"/>
        <v>1250.31</v>
      </c>
    </row>
    <row r="204" spans="1:35" ht="16.5" customHeight="1" x14ac:dyDescent="0.25">
      <c r="A204" s="28" t="s">
        <v>262</v>
      </c>
      <c r="B204" s="176" t="s">
        <v>88</v>
      </c>
      <c r="C204" s="32"/>
      <c r="D204" s="32"/>
      <c r="E204" s="33"/>
      <c r="F204" s="33"/>
      <c r="G204" s="33"/>
      <c r="H204" s="32"/>
      <c r="I204" s="33"/>
      <c r="J204" s="33"/>
      <c r="K204" s="33"/>
      <c r="L204" s="32"/>
      <c r="M204" s="32"/>
      <c r="N204" s="33"/>
      <c r="O204" s="33"/>
      <c r="P204" s="33"/>
      <c r="Q204" s="33"/>
      <c r="R204" s="33"/>
      <c r="S204" s="32"/>
      <c r="T204" s="33"/>
      <c r="U204" s="33"/>
      <c r="V204" s="34">
        <v>0</v>
      </c>
      <c r="W204" s="34"/>
      <c r="X204" s="35"/>
      <c r="Y204" s="34"/>
      <c r="Z204" s="35"/>
      <c r="AA204" s="35"/>
      <c r="AB204" s="35"/>
      <c r="AC204" s="27">
        <v>0</v>
      </c>
      <c r="AD204" s="26">
        <v>0</v>
      </c>
      <c r="AE204" s="26">
        <f>2764.25</f>
        <v>2764.25</v>
      </c>
      <c r="AF204" s="26">
        <f>SUM(AC204:AE204)-5.16</f>
        <v>2759.09</v>
      </c>
      <c r="AG204" s="34">
        <v>0</v>
      </c>
      <c r="AH204" s="34">
        <f>0.01</f>
        <v>0.01</v>
      </c>
      <c r="AI204" s="34">
        <f t="shared" si="84"/>
        <v>2759.1000000000004</v>
      </c>
    </row>
    <row r="205" spans="1:35" ht="15.75" customHeight="1" x14ac:dyDescent="0.25">
      <c r="A205" s="163" t="s">
        <v>263</v>
      </c>
      <c r="B205" s="176" t="s">
        <v>88</v>
      </c>
      <c r="C205" s="32">
        <v>5162</v>
      </c>
      <c r="D205" s="32">
        <v>5920</v>
      </c>
      <c r="E205" s="33">
        <v>0</v>
      </c>
      <c r="F205" s="33">
        <v>0</v>
      </c>
      <c r="G205" s="33">
        <f t="shared" si="78"/>
        <v>5920</v>
      </c>
      <c r="H205" s="32">
        <v>0</v>
      </c>
      <c r="I205" s="33">
        <v>0</v>
      </c>
      <c r="J205" s="33">
        <v>0</v>
      </c>
      <c r="K205" s="33">
        <f t="shared" si="79"/>
        <v>5920</v>
      </c>
      <c r="L205" s="32">
        <v>0</v>
      </c>
      <c r="M205" s="32">
        <v>0</v>
      </c>
      <c r="N205" s="33">
        <f t="shared" si="80"/>
        <v>5920</v>
      </c>
      <c r="O205" s="33">
        <v>6433</v>
      </c>
      <c r="P205" s="33">
        <v>0</v>
      </c>
      <c r="Q205" s="33">
        <v>0</v>
      </c>
      <c r="R205" s="33">
        <f t="shared" si="81"/>
        <v>6433</v>
      </c>
      <c r="S205" s="34">
        <v>0</v>
      </c>
      <c r="T205" s="35">
        <v>0</v>
      </c>
      <c r="U205" s="35">
        <f t="shared" si="82"/>
        <v>6433</v>
      </c>
      <c r="V205" s="34">
        <v>6433</v>
      </c>
      <c r="W205" s="34">
        <f>V205-U205</f>
        <v>0</v>
      </c>
      <c r="X205" s="35">
        <v>0</v>
      </c>
      <c r="Y205" s="34">
        <v>0</v>
      </c>
      <c r="Z205" s="35">
        <f t="shared" si="85"/>
        <v>6433</v>
      </c>
      <c r="AA205" s="35">
        <f>500</f>
        <v>500</v>
      </c>
      <c r="AB205" s="35">
        <v>0</v>
      </c>
      <c r="AC205" s="27">
        <f t="shared" si="57"/>
        <v>6933</v>
      </c>
      <c r="AD205" s="26">
        <v>0</v>
      </c>
      <c r="AE205" s="26">
        <v>0</v>
      </c>
      <c r="AF205" s="26">
        <f t="shared" si="83"/>
        <v>6933</v>
      </c>
      <c r="AG205" s="34">
        <f>400</f>
        <v>400</v>
      </c>
      <c r="AH205" s="34">
        <v>0</v>
      </c>
      <c r="AI205" s="34">
        <f t="shared" si="84"/>
        <v>7333</v>
      </c>
    </row>
    <row r="206" spans="1:35" ht="12.75" customHeight="1" x14ac:dyDescent="0.25">
      <c r="A206" s="163" t="s">
        <v>264</v>
      </c>
      <c r="B206" s="176" t="s">
        <v>67</v>
      </c>
      <c r="C206" s="32"/>
      <c r="D206" s="32">
        <v>0</v>
      </c>
      <c r="E206" s="33">
        <v>0</v>
      </c>
      <c r="F206" s="33">
        <v>30</v>
      </c>
      <c r="G206" s="33">
        <f t="shared" si="78"/>
        <v>30</v>
      </c>
      <c r="H206" s="32">
        <v>0</v>
      </c>
      <c r="I206" s="33">
        <v>0</v>
      </c>
      <c r="J206" s="33">
        <v>0</v>
      </c>
      <c r="K206" s="33">
        <f t="shared" si="79"/>
        <v>30</v>
      </c>
      <c r="L206" s="32">
        <v>0</v>
      </c>
      <c r="M206" s="32">
        <v>0</v>
      </c>
      <c r="N206" s="33">
        <f t="shared" si="80"/>
        <v>30</v>
      </c>
      <c r="O206" s="33">
        <v>30</v>
      </c>
      <c r="P206" s="33">
        <v>0</v>
      </c>
      <c r="Q206" s="33">
        <v>0</v>
      </c>
      <c r="R206" s="33">
        <f t="shared" si="81"/>
        <v>30</v>
      </c>
      <c r="S206" s="34">
        <v>0</v>
      </c>
      <c r="T206" s="35">
        <v>0</v>
      </c>
      <c r="U206" s="35">
        <f t="shared" si="82"/>
        <v>30</v>
      </c>
      <c r="V206" s="34">
        <v>30</v>
      </c>
      <c r="W206" s="34">
        <f>V206-U206</f>
        <v>0</v>
      </c>
      <c r="X206" s="35">
        <v>0</v>
      </c>
      <c r="Y206" s="34">
        <v>0</v>
      </c>
      <c r="Z206" s="35">
        <f t="shared" si="85"/>
        <v>30</v>
      </c>
      <c r="AA206" s="35">
        <v>0</v>
      </c>
      <c r="AB206" s="35">
        <v>0</v>
      </c>
      <c r="AC206" s="27">
        <f t="shared" si="57"/>
        <v>30</v>
      </c>
      <c r="AD206" s="26">
        <v>0</v>
      </c>
      <c r="AE206" s="26">
        <v>0</v>
      </c>
      <c r="AF206" s="26">
        <f t="shared" si="83"/>
        <v>30</v>
      </c>
      <c r="AG206" s="34">
        <v>0</v>
      </c>
      <c r="AH206" s="34">
        <v>0</v>
      </c>
      <c r="AI206" s="34">
        <f t="shared" si="84"/>
        <v>30</v>
      </c>
    </row>
    <row r="207" spans="1:35" ht="25.5" x14ac:dyDescent="0.25">
      <c r="A207" s="28" t="s">
        <v>265</v>
      </c>
      <c r="B207" s="176" t="s">
        <v>88</v>
      </c>
      <c r="C207" s="32"/>
      <c r="D207" s="32"/>
      <c r="E207" s="33"/>
      <c r="F207" s="33"/>
      <c r="G207" s="33"/>
      <c r="H207" s="32"/>
      <c r="I207" s="33"/>
      <c r="J207" s="33"/>
      <c r="K207" s="33"/>
      <c r="L207" s="32"/>
      <c r="M207" s="32"/>
      <c r="N207" s="33"/>
      <c r="O207" s="33">
        <v>0</v>
      </c>
      <c r="P207" s="33"/>
      <c r="Q207" s="33"/>
      <c r="R207" s="33">
        <v>0</v>
      </c>
      <c r="S207" s="34">
        <v>100</v>
      </c>
      <c r="T207" s="35">
        <v>0</v>
      </c>
      <c r="U207" s="35">
        <f t="shared" si="82"/>
        <v>100</v>
      </c>
      <c r="V207" s="34">
        <v>0</v>
      </c>
      <c r="W207" s="34">
        <f>100</f>
        <v>100</v>
      </c>
      <c r="X207" s="35">
        <v>0</v>
      </c>
      <c r="Y207" s="34">
        <v>0</v>
      </c>
      <c r="Z207" s="35">
        <f t="shared" si="85"/>
        <v>100</v>
      </c>
      <c r="AA207" s="35">
        <v>0</v>
      </c>
      <c r="AB207" s="35">
        <v>0</v>
      </c>
      <c r="AC207" s="27">
        <f t="shared" si="57"/>
        <v>100</v>
      </c>
      <c r="AD207" s="26">
        <v>0</v>
      </c>
      <c r="AE207" s="26">
        <v>0</v>
      </c>
      <c r="AF207" s="26">
        <f t="shared" si="83"/>
        <v>100</v>
      </c>
      <c r="AG207" s="34">
        <v>0</v>
      </c>
      <c r="AH207" s="34">
        <v>0</v>
      </c>
      <c r="AI207" s="34">
        <f t="shared" si="84"/>
        <v>100</v>
      </c>
    </row>
    <row r="208" spans="1:35" ht="25.5" x14ac:dyDescent="0.25">
      <c r="A208" s="28" t="s">
        <v>266</v>
      </c>
      <c r="B208" s="176" t="s">
        <v>88</v>
      </c>
      <c r="C208" s="32"/>
      <c r="D208" s="32"/>
      <c r="E208" s="33"/>
      <c r="F208" s="33"/>
      <c r="G208" s="33"/>
      <c r="H208" s="32"/>
      <c r="I208" s="33"/>
      <c r="J208" s="33"/>
      <c r="K208" s="33"/>
      <c r="L208" s="32"/>
      <c r="M208" s="32"/>
      <c r="N208" s="33"/>
      <c r="O208" s="33"/>
      <c r="P208" s="33"/>
      <c r="Q208" s="33"/>
      <c r="R208" s="33"/>
      <c r="S208" s="34"/>
      <c r="T208" s="35"/>
      <c r="U208" s="35"/>
      <c r="V208" s="34">
        <v>0</v>
      </c>
      <c r="W208" s="34">
        <f>90</f>
        <v>90</v>
      </c>
      <c r="X208" s="35">
        <v>0</v>
      </c>
      <c r="Y208" s="34">
        <v>0</v>
      </c>
      <c r="Z208" s="35">
        <f t="shared" si="85"/>
        <v>90</v>
      </c>
      <c r="AA208" s="35">
        <v>0</v>
      </c>
      <c r="AB208" s="35">
        <v>0</v>
      </c>
      <c r="AC208" s="27">
        <f t="shared" si="57"/>
        <v>90</v>
      </c>
      <c r="AD208" s="26">
        <v>0</v>
      </c>
      <c r="AE208" s="26">
        <v>0</v>
      </c>
      <c r="AF208" s="26">
        <f t="shared" si="83"/>
        <v>90</v>
      </c>
      <c r="AG208" s="34">
        <v>0</v>
      </c>
      <c r="AH208" s="34">
        <v>0</v>
      </c>
      <c r="AI208" s="34">
        <f t="shared" si="84"/>
        <v>90</v>
      </c>
    </row>
    <row r="209" spans="1:35" ht="51" customHeight="1" x14ac:dyDescent="0.25">
      <c r="A209" s="28" t="s">
        <v>267</v>
      </c>
      <c r="B209" s="162" t="s">
        <v>88</v>
      </c>
      <c r="C209" s="32">
        <v>14184</v>
      </c>
      <c r="D209" s="32">
        <v>13234</v>
      </c>
      <c r="E209" s="33">
        <v>0</v>
      </c>
      <c r="F209" s="33">
        <v>0</v>
      </c>
      <c r="G209" s="33">
        <f>D209+E209+F209</f>
        <v>13234</v>
      </c>
      <c r="H209" s="32">
        <v>2070</v>
      </c>
      <c r="I209" s="33">
        <v>0</v>
      </c>
      <c r="J209" s="33">
        <v>0</v>
      </c>
      <c r="K209" s="33">
        <f t="shared" si="79"/>
        <v>15304</v>
      </c>
      <c r="L209" s="32">
        <v>0</v>
      </c>
      <c r="M209" s="32">
        <v>0</v>
      </c>
      <c r="N209" s="33">
        <f t="shared" si="80"/>
        <v>15304</v>
      </c>
      <c r="O209" s="33">
        <v>16321</v>
      </c>
      <c r="P209" s="33">
        <v>0</v>
      </c>
      <c r="Q209" s="33">
        <v>0</v>
      </c>
      <c r="R209" s="33">
        <f>O209+P209+Q209</f>
        <v>16321</v>
      </c>
      <c r="S209" s="32">
        <v>0</v>
      </c>
      <c r="T209" s="33">
        <v>0</v>
      </c>
      <c r="U209" s="33">
        <f t="shared" si="82"/>
        <v>16321</v>
      </c>
      <c r="V209" s="34">
        <v>16321</v>
      </c>
      <c r="W209" s="34">
        <v>0</v>
      </c>
      <c r="X209" s="35">
        <v>0</v>
      </c>
      <c r="Y209" s="34">
        <v>0</v>
      </c>
      <c r="Z209" s="35">
        <f t="shared" si="85"/>
        <v>16321</v>
      </c>
      <c r="AA209" s="35">
        <v>0</v>
      </c>
      <c r="AB209" s="35">
        <v>0</v>
      </c>
      <c r="AC209" s="27">
        <f t="shared" si="57"/>
        <v>16321</v>
      </c>
      <c r="AD209" s="26">
        <v>0</v>
      </c>
      <c r="AE209" s="26">
        <v>0</v>
      </c>
      <c r="AF209" s="26">
        <f t="shared" si="83"/>
        <v>16321</v>
      </c>
      <c r="AG209" s="34">
        <f>1400</f>
        <v>1400</v>
      </c>
      <c r="AH209" s="34">
        <v>0</v>
      </c>
      <c r="AI209" s="34">
        <f t="shared" si="84"/>
        <v>17721</v>
      </c>
    </row>
    <row r="210" spans="1:35" ht="14.25" customHeight="1" x14ac:dyDescent="0.25">
      <c r="A210" s="36" t="s">
        <v>268</v>
      </c>
      <c r="B210" s="162" t="s">
        <v>88</v>
      </c>
      <c r="C210" s="41"/>
      <c r="D210" s="41"/>
      <c r="E210" s="42"/>
      <c r="F210" s="42"/>
      <c r="G210" s="42"/>
      <c r="H210" s="41"/>
      <c r="I210" s="42"/>
      <c r="J210" s="42"/>
      <c r="K210" s="42"/>
      <c r="L210" s="41"/>
      <c r="M210" s="41"/>
      <c r="N210" s="42"/>
      <c r="O210" s="42"/>
      <c r="P210" s="42"/>
      <c r="Q210" s="42"/>
      <c r="R210" s="33"/>
      <c r="S210" s="41"/>
      <c r="T210" s="42"/>
      <c r="U210" s="33"/>
      <c r="V210" s="34">
        <v>0</v>
      </c>
      <c r="W210" s="34">
        <v>0</v>
      </c>
      <c r="X210" s="35">
        <v>0</v>
      </c>
      <c r="Y210" s="34">
        <f>19835</f>
        <v>19835</v>
      </c>
      <c r="Z210" s="35">
        <f t="shared" ref="Z210" si="87">SUM(V210:Y210)</f>
        <v>19835</v>
      </c>
      <c r="AA210" s="35">
        <v>0</v>
      </c>
      <c r="AB210" s="35">
        <v>0</v>
      </c>
      <c r="AC210" s="27">
        <f t="shared" si="57"/>
        <v>19835</v>
      </c>
      <c r="AD210" s="34">
        <v>0</v>
      </c>
      <c r="AE210" s="26">
        <f>274</f>
        <v>274</v>
      </c>
      <c r="AF210" s="26">
        <f t="shared" si="83"/>
        <v>20109</v>
      </c>
      <c r="AG210" s="34">
        <v>0</v>
      </c>
      <c r="AH210" s="34">
        <v>0</v>
      </c>
      <c r="AI210" s="34">
        <f t="shared" si="84"/>
        <v>20109</v>
      </c>
    </row>
    <row r="211" spans="1:35" ht="15" customHeight="1" x14ac:dyDescent="0.25">
      <c r="A211" s="28" t="s">
        <v>269</v>
      </c>
      <c r="B211" s="176" t="s">
        <v>261</v>
      </c>
      <c r="C211" s="32"/>
      <c r="D211" s="32"/>
      <c r="E211" s="33"/>
      <c r="F211" s="33"/>
      <c r="G211" s="33"/>
      <c r="H211" s="32"/>
      <c r="I211" s="33"/>
      <c r="J211" s="33"/>
      <c r="K211" s="33"/>
      <c r="L211" s="32"/>
      <c r="M211" s="32"/>
      <c r="N211" s="33"/>
      <c r="O211" s="33"/>
      <c r="P211" s="33"/>
      <c r="Q211" s="33"/>
      <c r="R211" s="33"/>
      <c r="S211" s="32"/>
      <c r="T211" s="33"/>
      <c r="U211" s="33"/>
      <c r="V211" s="34">
        <v>0</v>
      </c>
      <c r="W211" s="34"/>
      <c r="X211" s="35"/>
      <c r="Y211" s="34"/>
      <c r="Z211" s="35">
        <v>0</v>
      </c>
      <c r="AA211" s="35">
        <v>0</v>
      </c>
      <c r="AB211" s="35">
        <v>2751.65</v>
      </c>
      <c r="AC211" s="27">
        <f t="shared" si="57"/>
        <v>2751.65</v>
      </c>
      <c r="AD211" s="26">
        <v>0</v>
      </c>
      <c r="AE211" s="26">
        <f>1077.97</f>
        <v>1077.97</v>
      </c>
      <c r="AF211" s="26">
        <f>SUM(AC211:AE211)+1643.99</f>
        <v>5473.61</v>
      </c>
      <c r="AG211" s="34">
        <v>0</v>
      </c>
      <c r="AH211" s="34">
        <v>0</v>
      </c>
      <c r="AI211" s="34">
        <f t="shared" si="84"/>
        <v>5473.61</v>
      </c>
    </row>
    <row r="212" spans="1:35" ht="15" customHeight="1" x14ac:dyDescent="0.25">
      <c r="A212" s="28" t="s">
        <v>270</v>
      </c>
      <c r="B212" s="176" t="s">
        <v>88</v>
      </c>
      <c r="C212" s="32"/>
      <c r="D212" s="32"/>
      <c r="E212" s="33"/>
      <c r="F212" s="33"/>
      <c r="G212" s="33"/>
      <c r="H212" s="32"/>
      <c r="I212" s="33"/>
      <c r="J212" s="33"/>
      <c r="K212" s="33"/>
      <c r="L212" s="32"/>
      <c r="M212" s="32"/>
      <c r="N212" s="33"/>
      <c r="O212" s="33"/>
      <c r="P212" s="33"/>
      <c r="Q212" s="33"/>
      <c r="R212" s="33"/>
      <c r="S212" s="32"/>
      <c r="T212" s="33"/>
      <c r="U212" s="33"/>
      <c r="V212" s="34">
        <v>0</v>
      </c>
      <c r="W212" s="34"/>
      <c r="X212" s="35"/>
      <c r="Y212" s="34"/>
      <c r="Z212" s="35"/>
      <c r="AA212" s="35"/>
      <c r="AB212" s="35"/>
      <c r="AC212" s="27">
        <v>0</v>
      </c>
      <c r="AD212" s="26">
        <v>0</v>
      </c>
      <c r="AE212" s="26">
        <f>568.42</f>
        <v>568.41999999999996</v>
      </c>
      <c r="AF212" s="26">
        <f>SUM(AC212:AE212)</f>
        <v>568.41999999999996</v>
      </c>
      <c r="AG212" s="34">
        <v>0</v>
      </c>
      <c r="AH212" s="34">
        <v>0</v>
      </c>
      <c r="AI212" s="34">
        <f t="shared" si="84"/>
        <v>568.41999999999996</v>
      </c>
    </row>
    <row r="213" spans="1:35" ht="65.25" customHeight="1" x14ac:dyDescent="0.25">
      <c r="A213" s="28" t="s">
        <v>271</v>
      </c>
      <c r="B213" s="162" t="s">
        <v>88</v>
      </c>
      <c r="C213" s="32">
        <v>12635</v>
      </c>
      <c r="D213" s="32">
        <v>11885</v>
      </c>
      <c r="E213" s="33">
        <v>0</v>
      </c>
      <c r="F213" s="33">
        <v>0</v>
      </c>
      <c r="G213" s="33">
        <f>D213+E213+F213</f>
        <v>11885</v>
      </c>
      <c r="H213" s="32">
        <v>0</v>
      </c>
      <c r="I213" s="33">
        <v>0</v>
      </c>
      <c r="J213" s="33">
        <v>0</v>
      </c>
      <c r="K213" s="33">
        <f t="shared" si="79"/>
        <v>11885</v>
      </c>
      <c r="L213" s="32">
        <v>0</v>
      </c>
      <c r="M213" s="32">
        <v>0</v>
      </c>
      <c r="N213" s="33">
        <f t="shared" si="80"/>
        <v>11885</v>
      </c>
      <c r="O213" s="33">
        <v>12166.7</v>
      </c>
      <c r="P213" s="33">
        <v>0</v>
      </c>
      <c r="Q213" s="33">
        <v>0</v>
      </c>
      <c r="R213" s="33">
        <f>O213+P213+Q213</f>
        <v>12166.7</v>
      </c>
      <c r="S213" s="32">
        <v>850</v>
      </c>
      <c r="T213" s="33">
        <v>0</v>
      </c>
      <c r="U213" s="33">
        <f t="shared" si="82"/>
        <v>13016.7</v>
      </c>
      <c r="V213" s="34">
        <v>13127</v>
      </c>
      <c r="W213" s="34">
        <v>0</v>
      </c>
      <c r="X213" s="35">
        <v>0</v>
      </c>
      <c r="Y213" s="34">
        <v>0</v>
      </c>
      <c r="Z213" s="35">
        <f t="shared" si="85"/>
        <v>13127</v>
      </c>
      <c r="AA213" s="35">
        <v>0</v>
      </c>
      <c r="AB213" s="35">
        <v>0</v>
      </c>
      <c r="AC213" s="27">
        <f t="shared" si="57"/>
        <v>13127</v>
      </c>
      <c r="AD213" s="26">
        <v>-1312</v>
      </c>
      <c r="AE213" s="26">
        <v>0</v>
      </c>
      <c r="AF213" s="26">
        <f t="shared" si="83"/>
        <v>11815</v>
      </c>
      <c r="AG213" s="34">
        <v>0</v>
      </c>
      <c r="AH213" s="34">
        <v>0</v>
      </c>
      <c r="AI213" s="34">
        <f t="shared" si="84"/>
        <v>11815</v>
      </c>
    </row>
    <row r="214" spans="1:35" ht="24" customHeight="1" x14ac:dyDescent="0.25">
      <c r="A214" s="28" t="s">
        <v>272</v>
      </c>
      <c r="B214" s="162" t="s">
        <v>88</v>
      </c>
      <c r="C214" s="41"/>
      <c r="D214" s="41"/>
      <c r="E214" s="42"/>
      <c r="F214" s="42"/>
      <c r="G214" s="42"/>
      <c r="H214" s="41"/>
      <c r="I214" s="42"/>
      <c r="J214" s="42"/>
      <c r="K214" s="42"/>
      <c r="L214" s="41"/>
      <c r="M214" s="41"/>
      <c r="N214" s="42"/>
      <c r="O214" s="42"/>
      <c r="P214" s="42"/>
      <c r="Q214" s="42"/>
      <c r="R214" s="33"/>
      <c r="S214" s="41"/>
      <c r="T214" s="42"/>
      <c r="U214" s="33"/>
      <c r="V214" s="34">
        <v>0</v>
      </c>
      <c r="W214" s="34">
        <v>0</v>
      </c>
      <c r="X214" s="35">
        <v>0</v>
      </c>
      <c r="Y214" s="34">
        <f>64</f>
        <v>64</v>
      </c>
      <c r="Z214" s="35">
        <f t="shared" ref="Z214:Z215" si="88">SUM(V214:Y214)</f>
        <v>64</v>
      </c>
      <c r="AA214" s="35">
        <v>0</v>
      </c>
      <c r="AB214" s="35">
        <v>0</v>
      </c>
      <c r="AC214" s="27">
        <f t="shared" si="57"/>
        <v>64</v>
      </c>
      <c r="AD214" s="26">
        <v>0</v>
      </c>
      <c r="AE214" s="26">
        <v>0</v>
      </c>
      <c r="AF214" s="26">
        <f t="shared" si="83"/>
        <v>64</v>
      </c>
      <c r="AG214" s="34">
        <v>0</v>
      </c>
      <c r="AH214" s="34">
        <v>0</v>
      </c>
      <c r="AI214" s="34">
        <f t="shared" si="84"/>
        <v>64</v>
      </c>
    </row>
    <row r="215" spans="1:35" ht="26.25" customHeight="1" x14ac:dyDescent="0.25">
      <c r="A215" s="36" t="s">
        <v>273</v>
      </c>
      <c r="B215" s="162" t="s">
        <v>88</v>
      </c>
      <c r="C215" s="41"/>
      <c r="D215" s="41"/>
      <c r="E215" s="42"/>
      <c r="F215" s="42"/>
      <c r="G215" s="42"/>
      <c r="H215" s="41"/>
      <c r="I215" s="42"/>
      <c r="J215" s="42"/>
      <c r="K215" s="42"/>
      <c r="L215" s="41"/>
      <c r="M215" s="41"/>
      <c r="N215" s="42"/>
      <c r="O215" s="42"/>
      <c r="P215" s="42"/>
      <c r="Q215" s="42"/>
      <c r="R215" s="33"/>
      <c r="S215" s="41"/>
      <c r="T215" s="42"/>
      <c r="U215" s="33"/>
      <c r="V215" s="34">
        <v>0</v>
      </c>
      <c r="W215" s="34">
        <v>0</v>
      </c>
      <c r="X215" s="35">
        <v>0</v>
      </c>
      <c r="Y215" s="34">
        <f>10574</f>
        <v>10574</v>
      </c>
      <c r="Z215" s="35">
        <f t="shared" si="88"/>
        <v>10574</v>
      </c>
      <c r="AA215" s="35">
        <v>0</v>
      </c>
      <c r="AB215" s="35">
        <v>0</v>
      </c>
      <c r="AC215" s="27">
        <f t="shared" si="57"/>
        <v>10574</v>
      </c>
      <c r="AD215" s="26">
        <v>0</v>
      </c>
      <c r="AE215" s="26">
        <f>209</f>
        <v>209</v>
      </c>
      <c r="AF215" s="26">
        <f t="shared" si="83"/>
        <v>10783</v>
      </c>
      <c r="AG215" s="34">
        <v>0</v>
      </c>
      <c r="AH215" s="34">
        <v>0</v>
      </c>
      <c r="AI215" s="34">
        <f t="shared" si="84"/>
        <v>10783</v>
      </c>
    </row>
    <row r="216" spans="1:35" ht="24" customHeight="1" x14ac:dyDescent="0.25">
      <c r="A216" s="28" t="s">
        <v>274</v>
      </c>
      <c r="B216" s="162" t="s">
        <v>261</v>
      </c>
      <c r="C216" s="32"/>
      <c r="D216" s="32"/>
      <c r="E216" s="33"/>
      <c r="F216" s="33"/>
      <c r="G216" s="33"/>
      <c r="H216" s="32"/>
      <c r="I216" s="33"/>
      <c r="J216" s="33"/>
      <c r="K216" s="33"/>
      <c r="L216" s="32"/>
      <c r="M216" s="32"/>
      <c r="N216" s="33"/>
      <c r="O216" s="33"/>
      <c r="P216" s="33"/>
      <c r="Q216" s="33"/>
      <c r="R216" s="33"/>
      <c r="S216" s="32"/>
      <c r="T216" s="33"/>
      <c r="U216" s="33"/>
      <c r="V216" s="34">
        <v>0</v>
      </c>
      <c r="W216" s="34"/>
      <c r="X216" s="35"/>
      <c r="Y216" s="34"/>
      <c r="Z216" s="35">
        <v>0</v>
      </c>
      <c r="AA216" s="35">
        <v>0</v>
      </c>
      <c r="AB216" s="35">
        <v>1411.34</v>
      </c>
      <c r="AC216" s="27">
        <f t="shared" si="57"/>
        <v>1411.34</v>
      </c>
      <c r="AD216" s="26">
        <v>0</v>
      </c>
      <c r="AE216" s="26">
        <f>436.9</f>
        <v>436.9</v>
      </c>
      <c r="AF216" s="26">
        <f>SUM(AC216:AE216)+760.15</f>
        <v>2608.39</v>
      </c>
      <c r="AG216" s="34">
        <v>0</v>
      </c>
      <c r="AH216" s="34">
        <v>0</v>
      </c>
      <c r="AI216" s="34">
        <f t="shared" si="84"/>
        <v>2608.39</v>
      </c>
    </row>
    <row r="217" spans="1:35" ht="54" customHeight="1" x14ac:dyDescent="0.25">
      <c r="A217" s="28" t="s">
        <v>275</v>
      </c>
      <c r="B217" s="162" t="s">
        <v>88</v>
      </c>
      <c r="C217" s="32">
        <v>8022</v>
      </c>
      <c r="D217" s="32">
        <v>7772</v>
      </c>
      <c r="E217" s="33">
        <v>0</v>
      </c>
      <c r="F217" s="33">
        <v>0</v>
      </c>
      <c r="G217" s="33">
        <f>D217+E217+F217</f>
        <v>7772</v>
      </c>
      <c r="H217" s="32">
        <v>1531</v>
      </c>
      <c r="I217" s="33">
        <v>0</v>
      </c>
      <c r="J217" s="33">
        <v>0</v>
      </c>
      <c r="K217" s="33">
        <f t="shared" si="79"/>
        <v>9303</v>
      </c>
      <c r="L217" s="32">
        <v>0</v>
      </c>
      <c r="M217" s="32">
        <v>0</v>
      </c>
      <c r="N217" s="33">
        <f t="shared" si="80"/>
        <v>9303</v>
      </c>
      <c r="O217" s="33">
        <v>9576</v>
      </c>
      <c r="P217" s="33">
        <v>0</v>
      </c>
      <c r="Q217" s="33">
        <v>0</v>
      </c>
      <c r="R217" s="33">
        <f>O217+P217+Q217</f>
        <v>9576</v>
      </c>
      <c r="S217" s="32">
        <v>767</v>
      </c>
      <c r="T217" s="33">
        <v>0</v>
      </c>
      <c r="U217" s="33">
        <f t="shared" si="82"/>
        <v>10343</v>
      </c>
      <c r="V217" s="34">
        <v>9576</v>
      </c>
      <c r="W217" s="34">
        <v>0</v>
      </c>
      <c r="X217" s="35">
        <v>0</v>
      </c>
      <c r="Y217" s="34">
        <v>0</v>
      </c>
      <c r="Z217" s="35">
        <f t="shared" si="85"/>
        <v>9576</v>
      </c>
      <c r="AA217" s="35">
        <v>0</v>
      </c>
      <c r="AB217" s="35">
        <v>0</v>
      </c>
      <c r="AC217" s="27">
        <f t="shared" si="57"/>
        <v>9576</v>
      </c>
      <c r="AD217" s="26">
        <v>0</v>
      </c>
      <c r="AE217" s="26">
        <v>0</v>
      </c>
      <c r="AF217" s="26">
        <f t="shared" si="83"/>
        <v>9576</v>
      </c>
      <c r="AG217" s="34">
        <f>600</f>
        <v>600</v>
      </c>
      <c r="AH217" s="34">
        <v>0</v>
      </c>
      <c r="AI217" s="34">
        <f t="shared" si="84"/>
        <v>10176</v>
      </c>
    </row>
    <row r="218" spans="1:35" ht="15.75" customHeight="1" x14ac:dyDescent="0.25">
      <c r="A218" s="28" t="s">
        <v>276</v>
      </c>
      <c r="B218" s="162" t="s">
        <v>88</v>
      </c>
      <c r="C218" s="41"/>
      <c r="D218" s="41"/>
      <c r="E218" s="42"/>
      <c r="F218" s="42"/>
      <c r="G218" s="42"/>
      <c r="H218" s="41"/>
      <c r="I218" s="42"/>
      <c r="J218" s="42"/>
      <c r="K218" s="42"/>
      <c r="L218" s="41"/>
      <c r="M218" s="41"/>
      <c r="N218" s="42"/>
      <c r="O218" s="42"/>
      <c r="P218" s="42"/>
      <c r="Q218" s="42"/>
      <c r="R218" s="33"/>
      <c r="S218" s="41"/>
      <c r="T218" s="42"/>
      <c r="U218" s="33"/>
      <c r="V218" s="34">
        <v>0</v>
      </c>
      <c r="W218" s="34">
        <v>0</v>
      </c>
      <c r="X218" s="35">
        <v>0</v>
      </c>
      <c r="Y218" s="34">
        <f>4357</f>
        <v>4357</v>
      </c>
      <c r="Z218" s="35">
        <f t="shared" ref="Z218" si="89">SUM(V218:Y218)</f>
        <v>4357</v>
      </c>
      <c r="AA218" s="35">
        <v>0</v>
      </c>
      <c r="AB218" s="35">
        <v>0</v>
      </c>
      <c r="AC218" s="27">
        <f t="shared" si="57"/>
        <v>4357</v>
      </c>
      <c r="AD218" s="26">
        <v>0</v>
      </c>
      <c r="AE218" s="26">
        <f>48</f>
        <v>48</v>
      </c>
      <c r="AF218" s="26">
        <f t="shared" si="83"/>
        <v>4405</v>
      </c>
      <c r="AG218" s="34">
        <v>0</v>
      </c>
      <c r="AH218" s="34">
        <v>0</v>
      </c>
      <c r="AI218" s="34">
        <f t="shared" si="84"/>
        <v>4405</v>
      </c>
    </row>
    <row r="219" spans="1:35" ht="13.5" customHeight="1" x14ac:dyDescent="0.25">
      <c r="A219" s="28" t="s">
        <v>277</v>
      </c>
      <c r="B219" s="177" t="s">
        <v>261</v>
      </c>
      <c r="C219" s="24"/>
      <c r="D219" s="24"/>
      <c r="E219" s="25"/>
      <c r="F219" s="25"/>
      <c r="G219" s="25"/>
      <c r="H219" s="24"/>
      <c r="I219" s="25"/>
      <c r="J219" s="25"/>
      <c r="K219" s="25"/>
      <c r="L219" s="24"/>
      <c r="M219" s="24"/>
      <c r="N219" s="25"/>
      <c r="O219" s="25"/>
      <c r="P219" s="25"/>
      <c r="Q219" s="25"/>
      <c r="R219" s="33"/>
      <c r="S219" s="32"/>
      <c r="T219" s="33"/>
      <c r="U219" s="33"/>
      <c r="V219" s="34">
        <v>0</v>
      </c>
      <c r="W219" s="34"/>
      <c r="X219" s="35"/>
      <c r="Y219" s="34"/>
      <c r="Z219" s="35">
        <v>0</v>
      </c>
      <c r="AA219" s="35">
        <v>0</v>
      </c>
      <c r="AB219" s="35">
        <v>752.01</v>
      </c>
      <c r="AC219" s="27">
        <f t="shared" si="57"/>
        <v>752.01</v>
      </c>
      <c r="AD219" s="26">
        <v>0</v>
      </c>
      <c r="AE219" s="26">
        <f>106.17</f>
        <v>106.17</v>
      </c>
      <c r="AF219" s="26">
        <f>SUM(AC219:AE219)+73.37</f>
        <v>931.55</v>
      </c>
      <c r="AG219" s="34">
        <v>0</v>
      </c>
      <c r="AH219" s="34">
        <v>0</v>
      </c>
      <c r="AI219" s="34">
        <f t="shared" si="84"/>
        <v>931.55</v>
      </c>
    </row>
    <row r="220" spans="1:35" ht="13.5" customHeight="1" x14ac:dyDescent="0.25">
      <c r="A220" s="20" t="s">
        <v>278</v>
      </c>
      <c r="B220" s="177" t="s">
        <v>88</v>
      </c>
      <c r="C220" s="24"/>
      <c r="D220" s="24"/>
      <c r="E220" s="25"/>
      <c r="F220" s="25"/>
      <c r="G220" s="25"/>
      <c r="H220" s="24"/>
      <c r="I220" s="25"/>
      <c r="J220" s="25"/>
      <c r="K220" s="25"/>
      <c r="L220" s="24"/>
      <c r="M220" s="24"/>
      <c r="N220" s="25"/>
      <c r="O220" s="25"/>
      <c r="P220" s="25"/>
      <c r="Q220" s="25"/>
      <c r="R220" s="33"/>
      <c r="S220" s="32"/>
      <c r="T220" s="33"/>
      <c r="U220" s="33"/>
      <c r="V220" s="34">
        <v>0</v>
      </c>
      <c r="W220" s="34"/>
      <c r="X220" s="35"/>
      <c r="Y220" s="34"/>
      <c r="Z220" s="35"/>
      <c r="AA220" s="35"/>
      <c r="AB220" s="35"/>
      <c r="AC220" s="27">
        <v>0</v>
      </c>
      <c r="AD220" s="26">
        <v>0</v>
      </c>
      <c r="AE220" s="26">
        <f>33.09</f>
        <v>33.090000000000003</v>
      </c>
      <c r="AF220" s="26">
        <f>SUM(AC220:AE220)</f>
        <v>33.090000000000003</v>
      </c>
      <c r="AG220" s="34">
        <v>0</v>
      </c>
      <c r="AH220" s="34">
        <v>0</v>
      </c>
      <c r="AI220" s="34">
        <f t="shared" si="84"/>
        <v>33.090000000000003</v>
      </c>
    </row>
    <row r="221" spans="1:35" ht="67.5" customHeight="1" x14ac:dyDescent="0.25">
      <c r="A221" s="20" t="s">
        <v>279</v>
      </c>
      <c r="B221" s="139" t="s">
        <v>88</v>
      </c>
      <c r="C221" s="24">
        <v>9626</v>
      </c>
      <c r="D221" s="24">
        <v>9276</v>
      </c>
      <c r="E221" s="25">
        <v>0</v>
      </c>
      <c r="F221" s="25">
        <v>0</v>
      </c>
      <c r="G221" s="25">
        <f>D221+E221+F221</f>
        <v>9276</v>
      </c>
      <c r="H221" s="24">
        <v>0</v>
      </c>
      <c r="I221" s="25">
        <v>0</v>
      </c>
      <c r="J221" s="25">
        <v>0</v>
      </c>
      <c r="K221" s="25">
        <f t="shared" si="79"/>
        <v>9276</v>
      </c>
      <c r="L221" s="24">
        <v>0</v>
      </c>
      <c r="M221" s="24">
        <v>0</v>
      </c>
      <c r="N221" s="25">
        <f t="shared" si="80"/>
        <v>9276</v>
      </c>
      <c r="O221" s="25">
        <v>9467</v>
      </c>
      <c r="P221" s="25">
        <v>0</v>
      </c>
      <c r="Q221" s="25">
        <v>0</v>
      </c>
      <c r="R221" s="33">
        <f>O221+P221+Q221</f>
        <v>9467</v>
      </c>
      <c r="S221" s="32">
        <v>400</v>
      </c>
      <c r="T221" s="33">
        <v>0</v>
      </c>
      <c r="U221" s="33">
        <f t="shared" ref="U221:U239" si="90">SUM(R221:T221)</f>
        <v>9867</v>
      </c>
      <c r="V221" s="34">
        <v>9600</v>
      </c>
      <c r="W221" s="34">
        <v>0</v>
      </c>
      <c r="X221" s="35">
        <v>0</v>
      </c>
      <c r="Y221" s="34">
        <v>0</v>
      </c>
      <c r="Z221" s="35">
        <f t="shared" si="85"/>
        <v>9600</v>
      </c>
      <c r="AA221" s="35">
        <v>0</v>
      </c>
      <c r="AB221" s="35">
        <v>0</v>
      </c>
      <c r="AC221" s="27">
        <f t="shared" si="57"/>
        <v>9600</v>
      </c>
      <c r="AD221" s="26">
        <v>0</v>
      </c>
      <c r="AE221" s="26">
        <v>0</v>
      </c>
      <c r="AF221" s="26">
        <f t="shared" si="83"/>
        <v>9600</v>
      </c>
      <c r="AG221" s="34">
        <f>310</f>
        <v>310</v>
      </c>
      <c r="AH221" s="34">
        <v>0</v>
      </c>
      <c r="AI221" s="34">
        <f t="shared" si="84"/>
        <v>9910</v>
      </c>
    </row>
    <row r="222" spans="1:35" ht="23.25" customHeight="1" x14ac:dyDescent="0.25">
      <c r="A222" s="28" t="s">
        <v>280</v>
      </c>
      <c r="B222" s="162" t="s">
        <v>88</v>
      </c>
      <c r="C222" s="41"/>
      <c r="D222" s="41"/>
      <c r="E222" s="42"/>
      <c r="F222" s="42"/>
      <c r="G222" s="42"/>
      <c r="H222" s="41"/>
      <c r="I222" s="42"/>
      <c r="J222" s="42"/>
      <c r="K222" s="42"/>
      <c r="L222" s="41"/>
      <c r="M222" s="41"/>
      <c r="N222" s="42"/>
      <c r="O222" s="42"/>
      <c r="P222" s="42"/>
      <c r="Q222" s="42"/>
      <c r="R222" s="33"/>
      <c r="S222" s="41"/>
      <c r="T222" s="42"/>
      <c r="U222" s="33"/>
      <c r="V222" s="34">
        <v>0</v>
      </c>
      <c r="W222" s="34">
        <v>0</v>
      </c>
      <c r="X222" s="35">
        <v>0</v>
      </c>
      <c r="Y222" s="34">
        <f>4692</f>
        <v>4692</v>
      </c>
      <c r="Z222" s="35">
        <f t="shared" si="85"/>
        <v>4692</v>
      </c>
      <c r="AA222" s="35">
        <v>0</v>
      </c>
      <c r="AB222" s="35">
        <v>0</v>
      </c>
      <c r="AC222" s="27">
        <f t="shared" si="57"/>
        <v>4692</v>
      </c>
      <c r="AD222" s="26">
        <v>0</v>
      </c>
      <c r="AE222" s="26">
        <f>2</f>
        <v>2</v>
      </c>
      <c r="AF222" s="26">
        <f t="shared" si="83"/>
        <v>4694</v>
      </c>
      <c r="AG222" s="34">
        <v>0</v>
      </c>
      <c r="AH222" s="34">
        <v>0</v>
      </c>
      <c r="AI222" s="34">
        <f t="shared" si="84"/>
        <v>4694</v>
      </c>
    </row>
    <row r="223" spans="1:35" ht="24.75" customHeight="1" x14ac:dyDescent="0.25">
      <c r="A223" s="28" t="s">
        <v>281</v>
      </c>
      <c r="B223" s="139" t="s">
        <v>261</v>
      </c>
      <c r="C223" s="24"/>
      <c r="D223" s="24"/>
      <c r="E223" s="25"/>
      <c r="F223" s="25"/>
      <c r="G223" s="25"/>
      <c r="H223" s="24"/>
      <c r="I223" s="25"/>
      <c r="J223" s="25"/>
      <c r="K223" s="25"/>
      <c r="L223" s="24"/>
      <c r="M223" s="24"/>
      <c r="N223" s="25"/>
      <c r="O223" s="25"/>
      <c r="P223" s="25"/>
      <c r="Q223" s="25"/>
      <c r="R223" s="33"/>
      <c r="S223" s="32"/>
      <c r="T223" s="33"/>
      <c r="U223" s="33"/>
      <c r="V223" s="34">
        <v>0</v>
      </c>
      <c r="W223" s="34"/>
      <c r="X223" s="35"/>
      <c r="Y223" s="34"/>
      <c r="Z223" s="35">
        <v>0</v>
      </c>
      <c r="AA223" s="35">
        <v>0</v>
      </c>
      <c r="AB223" s="35">
        <v>400.2</v>
      </c>
      <c r="AC223" s="27">
        <f t="shared" si="57"/>
        <v>400.2</v>
      </c>
      <c r="AD223" s="26">
        <v>0</v>
      </c>
      <c r="AE223" s="26">
        <f>359.96</f>
        <v>359.96</v>
      </c>
      <c r="AF223" s="26">
        <f>SUM(AC223:AE223)+69.76</f>
        <v>829.92</v>
      </c>
      <c r="AG223" s="34">
        <v>0</v>
      </c>
      <c r="AH223" s="34">
        <v>0</v>
      </c>
      <c r="AI223" s="34">
        <f t="shared" si="84"/>
        <v>829.92</v>
      </c>
    </row>
    <row r="224" spans="1:35" ht="15" customHeight="1" x14ac:dyDescent="0.25">
      <c r="A224" s="20" t="s">
        <v>282</v>
      </c>
      <c r="B224" s="139"/>
      <c r="C224" s="24"/>
      <c r="D224" s="24"/>
      <c r="E224" s="25"/>
      <c r="F224" s="25"/>
      <c r="G224" s="25"/>
      <c r="H224" s="32"/>
      <c r="I224" s="33"/>
      <c r="J224" s="33"/>
      <c r="K224" s="33"/>
      <c r="L224" s="32"/>
      <c r="M224" s="32"/>
      <c r="N224" s="33"/>
      <c r="O224" s="33">
        <v>4.5</v>
      </c>
      <c r="P224" s="33"/>
      <c r="Q224" s="33"/>
      <c r="R224" s="33"/>
      <c r="S224" s="34"/>
      <c r="T224" s="35"/>
      <c r="U224" s="35">
        <v>4.5</v>
      </c>
      <c r="V224" s="34">
        <v>4.5</v>
      </c>
      <c r="W224" s="34">
        <f>V224-U224</f>
        <v>0</v>
      </c>
      <c r="X224" s="35">
        <v>0</v>
      </c>
      <c r="Y224" s="34">
        <v>0</v>
      </c>
      <c r="Z224" s="35">
        <f t="shared" si="85"/>
        <v>4.5</v>
      </c>
      <c r="AA224" s="35">
        <v>0</v>
      </c>
      <c r="AB224" s="35">
        <v>0</v>
      </c>
      <c r="AC224" s="27">
        <f t="shared" si="57"/>
        <v>4.5</v>
      </c>
      <c r="AD224" s="26">
        <v>0</v>
      </c>
      <c r="AE224" s="26">
        <v>0</v>
      </c>
      <c r="AF224" s="26">
        <f t="shared" si="83"/>
        <v>4.5</v>
      </c>
      <c r="AG224" s="34">
        <v>0</v>
      </c>
      <c r="AH224" s="34">
        <v>0</v>
      </c>
      <c r="AI224" s="34">
        <f t="shared" si="84"/>
        <v>4.5</v>
      </c>
    </row>
    <row r="225" spans="1:35" ht="15" customHeight="1" x14ac:dyDescent="0.25">
      <c r="A225" s="20" t="s">
        <v>283</v>
      </c>
      <c r="B225" s="139" t="s">
        <v>88</v>
      </c>
      <c r="C225" s="24"/>
      <c r="D225" s="24">
        <v>0</v>
      </c>
      <c r="E225" s="25"/>
      <c r="F225" s="25"/>
      <c r="G225" s="25">
        <v>0</v>
      </c>
      <c r="H225" s="32">
        <v>30</v>
      </c>
      <c r="I225" s="33">
        <v>0</v>
      </c>
      <c r="J225" s="33">
        <v>0</v>
      </c>
      <c r="K225" s="33">
        <f t="shared" si="79"/>
        <v>30</v>
      </c>
      <c r="L225" s="32">
        <v>0</v>
      </c>
      <c r="M225" s="32">
        <v>0</v>
      </c>
      <c r="N225" s="33">
        <f t="shared" si="80"/>
        <v>30</v>
      </c>
      <c r="O225" s="33">
        <v>40</v>
      </c>
      <c r="P225" s="33">
        <v>0</v>
      </c>
      <c r="Q225" s="33">
        <v>0</v>
      </c>
      <c r="R225" s="33">
        <f>O225+P225+Q225</f>
        <v>40</v>
      </c>
      <c r="S225" s="34">
        <v>0</v>
      </c>
      <c r="T225" s="35">
        <v>0</v>
      </c>
      <c r="U225" s="35">
        <f t="shared" si="90"/>
        <v>40</v>
      </c>
      <c r="V225" s="34">
        <v>40</v>
      </c>
      <c r="W225" s="34">
        <f>V225-U225</f>
        <v>0</v>
      </c>
      <c r="X225" s="35">
        <v>0</v>
      </c>
      <c r="Y225" s="34">
        <v>0</v>
      </c>
      <c r="Z225" s="35">
        <f t="shared" si="85"/>
        <v>40</v>
      </c>
      <c r="AA225" s="35">
        <v>0</v>
      </c>
      <c r="AB225" s="35">
        <v>0</v>
      </c>
      <c r="AC225" s="27">
        <f t="shared" si="57"/>
        <v>40</v>
      </c>
      <c r="AD225" s="26">
        <v>0</v>
      </c>
      <c r="AE225" s="26">
        <v>0</v>
      </c>
      <c r="AF225" s="26">
        <f t="shared" si="83"/>
        <v>40</v>
      </c>
      <c r="AG225" s="34">
        <v>0</v>
      </c>
      <c r="AH225" s="34">
        <v>0</v>
      </c>
      <c r="AI225" s="34">
        <f t="shared" si="84"/>
        <v>40</v>
      </c>
    </row>
    <row r="226" spans="1:35" ht="24.75" customHeight="1" x14ac:dyDescent="0.25">
      <c r="A226" s="20" t="s">
        <v>284</v>
      </c>
      <c r="B226" s="139"/>
      <c r="C226" s="24"/>
      <c r="D226" s="24"/>
      <c r="E226" s="25"/>
      <c r="F226" s="25"/>
      <c r="G226" s="25"/>
      <c r="H226" s="32"/>
      <c r="I226" s="33"/>
      <c r="J226" s="33"/>
      <c r="K226" s="33"/>
      <c r="L226" s="32"/>
      <c r="M226" s="32"/>
      <c r="N226" s="33"/>
      <c r="O226" s="33"/>
      <c r="P226" s="33"/>
      <c r="Q226" s="33"/>
      <c r="R226" s="33"/>
      <c r="S226" s="34"/>
      <c r="T226" s="35"/>
      <c r="U226" s="35"/>
      <c r="V226" s="34">
        <v>0</v>
      </c>
      <c r="W226" s="34">
        <f>291.87</f>
        <v>291.87</v>
      </c>
      <c r="X226" s="35">
        <v>0</v>
      </c>
      <c r="Y226" s="34">
        <v>0</v>
      </c>
      <c r="Z226" s="35">
        <f t="shared" si="85"/>
        <v>291.87</v>
      </c>
      <c r="AA226" s="35">
        <v>0</v>
      </c>
      <c r="AB226" s="35">
        <v>0</v>
      </c>
      <c r="AC226" s="27">
        <f t="shared" si="57"/>
        <v>291.87</v>
      </c>
      <c r="AD226" s="26">
        <v>0</v>
      </c>
      <c r="AE226" s="26">
        <v>0</v>
      </c>
      <c r="AF226" s="26">
        <f t="shared" si="83"/>
        <v>291.87</v>
      </c>
      <c r="AG226" s="34">
        <v>0</v>
      </c>
      <c r="AH226" s="34">
        <v>0</v>
      </c>
      <c r="AI226" s="34">
        <f t="shared" si="84"/>
        <v>291.87</v>
      </c>
    </row>
    <row r="227" spans="1:35" ht="16.5" customHeight="1" x14ac:dyDescent="0.25">
      <c r="A227" s="20" t="s">
        <v>285</v>
      </c>
      <c r="B227" s="139" t="s">
        <v>88</v>
      </c>
      <c r="C227" s="24"/>
      <c r="D227" s="24"/>
      <c r="E227" s="25"/>
      <c r="F227" s="25"/>
      <c r="G227" s="25"/>
      <c r="H227" s="32"/>
      <c r="I227" s="33"/>
      <c r="J227" s="33"/>
      <c r="K227" s="33"/>
      <c r="L227" s="32"/>
      <c r="M227" s="32"/>
      <c r="N227" s="33"/>
      <c r="O227" s="33"/>
      <c r="P227" s="33"/>
      <c r="Q227" s="33"/>
      <c r="R227" s="33"/>
      <c r="S227" s="34"/>
      <c r="T227" s="35"/>
      <c r="U227" s="35"/>
      <c r="V227" s="34">
        <v>0</v>
      </c>
      <c r="W227" s="34"/>
      <c r="X227" s="35"/>
      <c r="Y227" s="34"/>
      <c r="Z227" s="35">
        <v>0</v>
      </c>
      <c r="AA227" s="35">
        <f>100</f>
        <v>100</v>
      </c>
      <c r="AB227" s="35">
        <v>0</v>
      </c>
      <c r="AC227" s="27">
        <f t="shared" si="57"/>
        <v>100</v>
      </c>
      <c r="AD227" s="26">
        <v>0</v>
      </c>
      <c r="AE227" s="26">
        <v>0</v>
      </c>
      <c r="AF227" s="26">
        <f t="shared" si="83"/>
        <v>100</v>
      </c>
      <c r="AG227" s="34">
        <v>0</v>
      </c>
      <c r="AH227" s="34">
        <v>0</v>
      </c>
      <c r="AI227" s="34">
        <f t="shared" si="84"/>
        <v>100</v>
      </c>
    </row>
    <row r="228" spans="1:35" ht="24.6" customHeight="1" x14ac:dyDescent="0.25">
      <c r="A228" s="20" t="s">
        <v>286</v>
      </c>
      <c r="B228" s="139" t="s">
        <v>88</v>
      </c>
      <c r="C228" s="24"/>
      <c r="D228" s="24"/>
      <c r="E228" s="25"/>
      <c r="F228" s="25"/>
      <c r="G228" s="25"/>
      <c r="H228" s="32"/>
      <c r="I228" s="33"/>
      <c r="J228" s="33"/>
      <c r="K228" s="33"/>
      <c r="L228" s="32"/>
      <c r="M228" s="32"/>
      <c r="N228" s="33"/>
      <c r="O228" s="33"/>
      <c r="P228" s="33"/>
      <c r="Q228" s="33"/>
      <c r="R228" s="33"/>
      <c r="S228" s="34"/>
      <c r="T228" s="35"/>
      <c r="U228" s="35"/>
      <c r="V228" s="34">
        <v>0</v>
      </c>
      <c r="W228" s="34"/>
      <c r="X228" s="35"/>
      <c r="Y228" s="34"/>
      <c r="Z228" s="35"/>
      <c r="AA228" s="35"/>
      <c r="AB228" s="35"/>
      <c r="AC228" s="27">
        <v>0</v>
      </c>
      <c r="AD228" s="26">
        <v>0</v>
      </c>
      <c r="AE228" s="26">
        <f>10</f>
        <v>10</v>
      </c>
      <c r="AF228" s="26">
        <f>SUM(V228:AE228)</f>
        <v>10</v>
      </c>
      <c r="AG228" s="34">
        <v>0</v>
      </c>
      <c r="AH228" s="34">
        <v>0</v>
      </c>
      <c r="AI228" s="34">
        <f t="shared" si="84"/>
        <v>10</v>
      </c>
    </row>
    <row r="229" spans="1:35" x14ac:dyDescent="0.25">
      <c r="A229" s="163" t="s">
        <v>287</v>
      </c>
      <c r="B229" s="162" t="s">
        <v>67</v>
      </c>
      <c r="C229" s="32"/>
      <c r="D229" s="32">
        <v>100</v>
      </c>
      <c r="E229" s="33"/>
      <c r="F229" s="33"/>
      <c r="G229" s="33">
        <v>0</v>
      </c>
      <c r="H229" s="32">
        <v>100</v>
      </c>
      <c r="I229" s="33">
        <v>0</v>
      </c>
      <c r="J229" s="33">
        <v>0</v>
      </c>
      <c r="K229" s="33">
        <f t="shared" si="79"/>
        <v>100</v>
      </c>
      <c r="L229" s="32">
        <v>0</v>
      </c>
      <c r="M229" s="32">
        <v>0</v>
      </c>
      <c r="N229" s="33">
        <f t="shared" si="80"/>
        <v>100</v>
      </c>
      <c r="O229" s="33">
        <v>100</v>
      </c>
      <c r="P229" s="33">
        <v>0</v>
      </c>
      <c r="Q229" s="33">
        <v>0</v>
      </c>
      <c r="R229" s="33">
        <f t="shared" ref="R229:R237" si="91">O229+P229+Q229</f>
        <v>100</v>
      </c>
      <c r="S229" s="34">
        <v>0</v>
      </c>
      <c r="T229" s="35">
        <v>0</v>
      </c>
      <c r="U229" s="35">
        <f t="shared" si="90"/>
        <v>100</v>
      </c>
      <c r="V229" s="34">
        <v>100</v>
      </c>
      <c r="W229" s="34">
        <v>0</v>
      </c>
      <c r="X229" s="35">
        <v>0</v>
      </c>
      <c r="Y229" s="34">
        <v>0</v>
      </c>
      <c r="Z229" s="35">
        <f t="shared" si="85"/>
        <v>100</v>
      </c>
      <c r="AA229" s="35">
        <v>0</v>
      </c>
      <c r="AB229" s="35">
        <v>0</v>
      </c>
      <c r="AC229" s="27">
        <f t="shared" si="57"/>
        <v>100</v>
      </c>
      <c r="AD229" s="26">
        <v>0</v>
      </c>
      <c r="AE229" s="26">
        <v>0</v>
      </c>
      <c r="AF229" s="26">
        <f t="shared" si="83"/>
        <v>100</v>
      </c>
      <c r="AG229" s="34">
        <v>0</v>
      </c>
      <c r="AH229" s="34">
        <v>0</v>
      </c>
      <c r="AI229" s="34">
        <f t="shared" si="84"/>
        <v>100</v>
      </c>
    </row>
    <row r="230" spans="1:35" x14ac:dyDescent="0.25">
      <c r="A230" s="163" t="s">
        <v>288</v>
      </c>
      <c r="B230" s="162" t="s">
        <v>88</v>
      </c>
      <c r="C230" s="32">
        <v>1990</v>
      </c>
      <c r="D230" s="32">
        <v>2200</v>
      </c>
      <c r="E230" s="33">
        <v>0</v>
      </c>
      <c r="F230" s="33">
        <v>0</v>
      </c>
      <c r="G230" s="33">
        <f>D230+E230+F230</f>
        <v>2200</v>
      </c>
      <c r="H230" s="32">
        <v>0</v>
      </c>
      <c r="I230" s="33">
        <v>0</v>
      </c>
      <c r="J230" s="33">
        <v>0</v>
      </c>
      <c r="K230" s="33">
        <f t="shared" si="79"/>
        <v>2200</v>
      </c>
      <c r="L230" s="32">
        <v>0</v>
      </c>
      <c r="M230" s="32">
        <v>0</v>
      </c>
      <c r="N230" s="33">
        <f t="shared" si="80"/>
        <v>2200</v>
      </c>
      <c r="O230" s="33">
        <v>2700</v>
      </c>
      <c r="P230" s="33">
        <v>0</v>
      </c>
      <c r="Q230" s="33">
        <v>0</v>
      </c>
      <c r="R230" s="33">
        <f t="shared" si="91"/>
        <v>2700</v>
      </c>
      <c r="S230" s="34">
        <v>0</v>
      </c>
      <c r="T230" s="35">
        <v>0</v>
      </c>
      <c r="U230" s="35">
        <f t="shared" si="90"/>
        <v>2700</v>
      </c>
      <c r="V230" s="34">
        <v>3160</v>
      </c>
      <c r="W230" s="34">
        <v>0</v>
      </c>
      <c r="X230" s="35">
        <v>0</v>
      </c>
      <c r="Y230" s="34">
        <v>0</v>
      </c>
      <c r="Z230" s="35">
        <f t="shared" si="85"/>
        <v>3160</v>
      </c>
      <c r="AA230" s="35">
        <v>0</v>
      </c>
      <c r="AB230" s="35">
        <v>0</v>
      </c>
      <c r="AC230" s="27">
        <f t="shared" si="57"/>
        <v>3160</v>
      </c>
      <c r="AD230" s="26">
        <v>0</v>
      </c>
      <c r="AE230" s="26">
        <v>0</v>
      </c>
      <c r="AF230" s="26">
        <f t="shared" si="83"/>
        <v>3160</v>
      </c>
      <c r="AG230" s="34">
        <v>0</v>
      </c>
      <c r="AH230" s="34">
        <v>0</v>
      </c>
      <c r="AI230" s="34">
        <f t="shared" si="84"/>
        <v>3160</v>
      </c>
    </row>
    <row r="231" spans="1:35" x14ac:dyDescent="0.25">
      <c r="A231" s="167" t="s">
        <v>289</v>
      </c>
      <c r="B231" s="139" t="s">
        <v>88</v>
      </c>
      <c r="C231" s="24">
        <v>1081</v>
      </c>
      <c r="D231" s="24">
        <v>1081</v>
      </c>
      <c r="E231" s="25">
        <v>0</v>
      </c>
      <c r="F231" s="25">
        <v>0</v>
      </c>
      <c r="G231" s="25">
        <f>D231+E231+F231</f>
        <v>1081</v>
      </c>
      <c r="H231" s="24">
        <v>0</v>
      </c>
      <c r="I231" s="25">
        <v>0</v>
      </c>
      <c r="J231" s="25">
        <v>0</v>
      </c>
      <c r="K231" s="33">
        <f t="shared" si="79"/>
        <v>1081</v>
      </c>
      <c r="L231" s="32">
        <v>0</v>
      </c>
      <c r="M231" s="32">
        <v>0</v>
      </c>
      <c r="N231" s="33">
        <f t="shared" si="80"/>
        <v>1081</v>
      </c>
      <c r="O231" s="33">
        <v>1081</v>
      </c>
      <c r="P231" s="33">
        <v>0</v>
      </c>
      <c r="Q231" s="33">
        <v>0</v>
      </c>
      <c r="R231" s="33">
        <f t="shared" si="91"/>
        <v>1081</v>
      </c>
      <c r="S231" s="34">
        <v>0</v>
      </c>
      <c r="T231" s="35">
        <v>0</v>
      </c>
      <c r="U231" s="35">
        <f t="shared" si="90"/>
        <v>1081</v>
      </c>
      <c r="V231" s="34">
        <v>1265</v>
      </c>
      <c r="W231" s="34">
        <v>0</v>
      </c>
      <c r="X231" s="35">
        <v>0</v>
      </c>
      <c r="Y231" s="34">
        <v>0</v>
      </c>
      <c r="Z231" s="35">
        <f t="shared" si="85"/>
        <v>1265</v>
      </c>
      <c r="AA231" s="35">
        <v>0</v>
      </c>
      <c r="AB231" s="35">
        <v>0</v>
      </c>
      <c r="AC231" s="27">
        <f t="shared" si="57"/>
        <v>1265</v>
      </c>
      <c r="AD231" s="26">
        <v>0</v>
      </c>
      <c r="AE231" s="26">
        <v>0</v>
      </c>
      <c r="AF231" s="26">
        <f t="shared" si="83"/>
        <v>1265</v>
      </c>
      <c r="AG231" s="34">
        <v>0</v>
      </c>
      <c r="AH231" s="34">
        <v>0</v>
      </c>
      <c r="AI231" s="34">
        <f t="shared" si="84"/>
        <v>1265</v>
      </c>
    </row>
    <row r="232" spans="1:35" x14ac:dyDescent="0.25">
      <c r="A232" s="163" t="s">
        <v>290</v>
      </c>
      <c r="B232" s="162" t="s">
        <v>67</v>
      </c>
      <c r="C232" s="32"/>
      <c r="D232" s="32">
        <v>0</v>
      </c>
      <c r="E232" s="33"/>
      <c r="F232" s="33"/>
      <c r="G232" s="33">
        <v>0</v>
      </c>
      <c r="H232" s="32">
        <v>50</v>
      </c>
      <c r="I232" s="33">
        <v>0</v>
      </c>
      <c r="J232" s="33">
        <v>0</v>
      </c>
      <c r="K232" s="33">
        <f t="shared" si="79"/>
        <v>50</v>
      </c>
      <c r="L232" s="32">
        <v>0</v>
      </c>
      <c r="M232" s="32">
        <v>0</v>
      </c>
      <c r="N232" s="33">
        <f t="shared" si="80"/>
        <v>50</v>
      </c>
      <c r="O232" s="33">
        <v>50</v>
      </c>
      <c r="P232" s="33">
        <v>0</v>
      </c>
      <c r="Q232" s="33">
        <v>0</v>
      </c>
      <c r="R232" s="33">
        <f t="shared" si="91"/>
        <v>50</v>
      </c>
      <c r="S232" s="34">
        <v>0</v>
      </c>
      <c r="T232" s="35">
        <v>0</v>
      </c>
      <c r="U232" s="35">
        <f t="shared" si="90"/>
        <v>50</v>
      </c>
      <c r="V232" s="34">
        <v>60</v>
      </c>
      <c r="W232" s="34">
        <v>0</v>
      </c>
      <c r="X232" s="35">
        <v>0</v>
      </c>
      <c r="Y232" s="34">
        <v>0</v>
      </c>
      <c r="Z232" s="35">
        <f t="shared" si="85"/>
        <v>60</v>
      </c>
      <c r="AA232" s="35">
        <v>0</v>
      </c>
      <c r="AB232" s="35">
        <v>0</v>
      </c>
      <c r="AC232" s="27">
        <f t="shared" si="57"/>
        <v>60</v>
      </c>
      <c r="AD232" s="26">
        <v>0</v>
      </c>
      <c r="AE232" s="26">
        <v>0</v>
      </c>
      <c r="AF232" s="26">
        <f t="shared" si="83"/>
        <v>60</v>
      </c>
      <c r="AG232" s="34">
        <v>0</v>
      </c>
      <c r="AH232" s="34">
        <v>0</v>
      </c>
      <c r="AI232" s="34">
        <f t="shared" si="84"/>
        <v>60</v>
      </c>
    </row>
    <row r="233" spans="1:35" ht="25.5" x14ac:dyDescent="0.25">
      <c r="A233" s="28" t="s">
        <v>291</v>
      </c>
      <c r="B233" s="162" t="s">
        <v>88</v>
      </c>
      <c r="C233" s="32"/>
      <c r="D233" s="32"/>
      <c r="E233" s="33"/>
      <c r="F233" s="33"/>
      <c r="G233" s="33"/>
      <c r="H233" s="32"/>
      <c r="I233" s="33"/>
      <c r="J233" s="33"/>
      <c r="K233" s="33"/>
      <c r="L233" s="32"/>
      <c r="M233" s="32"/>
      <c r="N233" s="33"/>
      <c r="O233" s="33"/>
      <c r="P233" s="33"/>
      <c r="Q233" s="33"/>
      <c r="R233" s="33"/>
      <c r="S233" s="34"/>
      <c r="T233" s="35"/>
      <c r="U233" s="35"/>
      <c r="V233" s="34">
        <v>0</v>
      </c>
      <c r="W233" s="34"/>
      <c r="X233" s="35"/>
      <c r="Y233" s="34"/>
      <c r="Z233" s="35"/>
      <c r="AA233" s="35"/>
      <c r="AB233" s="35"/>
      <c r="AC233" s="27">
        <v>0</v>
      </c>
      <c r="AD233" s="26">
        <v>0</v>
      </c>
      <c r="AE233" s="26">
        <f>18</f>
        <v>18</v>
      </c>
      <c r="AF233" s="26">
        <f>SUM(V233:AE233)</f>
        <v>18</v>
      </c>
      <c r="AG233" s="34">
        <v>0</v>
      </c>
      <c r="AH233" s="34">
        <v>0</v>
      </c>
      <c r="AI233" s="34">
        <f t="shared" si="84"/>
        <v>18</v>
      </c>
    </row>
    <row r="234" spans="1:35" ht="13.5" customHeight="1" x14ac:dyDescent="0.25">
      <c r="A234" s="163" t="s">
        <v>292</v>
      </c>
      <c r="B234" s="162" t="s">
        <v>88</v>
      </c>
      <c r="C234" s="32">
        <v>200</v>
      </c>
      <c r="D234" s="32">
        <v>200</v>
      </c>
      <c r="E234" s="33">
        <v>0</v>
      </c>
      <c r="F234" s="33">
        <v>0</v>
      </c>
      <c r="G234" s="33">
        <f>D234+E234+F234</f>
        <v>200</v>
      </c>
      <c r="H234" s="32">
        <v>0</v>
      </c>
      <c r="I234" s="33">
        <v>0</v>
      </c>
      <c r="J234" s="33">
        <v>0</v>
      </c>
      <c r="K234" s="33">
        <f t="shared" si="79"/>
        <v>200</v>
      </c>
      <c r="L234" s="32">
        <v>0</v>
      </c>
      <c r="M234" s="32">
        <v>0</v>
      </c>
      <c r="N234" s="33">
        <f t="shared" si="80"/>
        <v>200</v>
      </c>
      <c r="O234" s="33">
        <v>200</v>
      </c>
      <c r="P234" s="33">
        <v>0</v>
      </c>
      <c r="Q234" s="33">
        <v>0</v>
      </c>
      <c r="R234" s="33">
        <f t="shared" si="91"/>
        <v>200</v>
      </c>
      <c r="S234" s="34">
        <v>0</v>
      </c>
      <c r="T234" s="35">
        <v>0</v>
      </c>
      <c r="U234" s="35">
        <f t="shared" si="90"/>
        <v>200</v>
      </c>
      <c r="V234" s="34">
        <v>200</v>
      </c>
      <c r="W234" s="34">
        <f>V234-U234</f>
        <v>0</v>
      </c>
      <c r="X234" s="35">
        <v>0</v>
      </c>
      <c r="Y234" s="34">
        <v>0</v>
      </c>
      <c r="Z234" s="35">
        <f t="shared" si="85"/>
        <v>200</v>
      </c>
      <c r="AA234" s="35">
        <v>0</v>
      </c>
      <c r="AB234" s="35">
        <v>0</v>
      </c>
      <c r="AC234" s="27">
        <f t="shared" si="57"/>
        <v>200</v>
      </c>
      <c r="AD234" s="26">
        <v>0</v>
      </c>
      <c r="AE234" s="26">
        <v>0</v>
      </c>
      <c r="AF234" s="26">
        <f t="shared" si="83"/>
        <v>200</v>
      </c>
      <c r="AG234" s="34">
        <v>0</v>
      </c>
      <c r="AH234" s="34">
        <v>0</v>
      </c>
      <c r="AI234" s="34">
        <f t="shared" si="84"/>
        <v>200</v>
      </c>
    </row>
    <row r="235" spans="1:35" x14ac:dyDescent="0.25">
      <c r="A235" s="163" t="s">
        <v>293</v>
      </c>
      <c r="B235" s="162" t="s">
        <v>88</v>
      </c>
      <c r="C235" s="32"/>
      <c r="D235" s="32">
        <v>0</v>
      </c>
      <c r="E235" s="33"/>
      <c r="F235" s="33"/>
      <c r="G235" s="33"/>
      <c r="H235" s="32"/>
      <c r="I235" s="33"/>
      <c r="J235" s="33"/>
      <c r="K235" s="33"/>
      <c r="L235" s="32"/>
      <c r="M235" s="32"/>
      <c r="N235" s="33">
        <v>50</v>
      </c>
      <c r="O235" s="33">
        <v>50</v>
      </c>
      <c r="P235" s="33">
        <v>0</v>
      </c>
      <c r="Q235" s="33">
        <v>0</v>
      </c>
      <c r="R235" s="33">
        <f t="shared" si="91"/>
        <v>50</v>
      </c>
      <c r="S235" s="34">
        <v>0</v>
      </c>
      <c r="T235" s="35">
        <v>0</v>
      </c>
      <c r="U235" s="35">
        <f t="shared" si="90"/>
        <v>50</v>
      </c>
      <c r="V235" s="34">
        <v>50</v>
      </c>
      <c r="W235" s="34">
        <f>V235-U235</f>
        <v>0</v>
      </c>
      <c r="X235" s="35">
        <v>0</v>
      </c>
      <c r="Y235" s="34">
        <v>0</v>
      </c>
      <c r="Z235" s="35">
        <f t="shared" si="85"/>
        <v>50</v>
      </c>
      <c r="AA235" s="35">
        <v>0</v>
      </c>
      <c r="AB235" s="35">
        <v>0</v>
      </c>
      <c r="AC235" s="27">
        <f t="shared" si="57"/>
        <v>50</v>
      </c>
      <c r="AD235" s="26">
        <v>0</v>
      </c>
      <c r="AE235" s="26">
        <v>0</v>
      </c>
      <c r="AF235" s="26">
        <f t="shared" si="83"/>
        <v>50</v>
      </c>
      <c r="AG235" s="34">
        <v>0</v>
      </c>
      <c r="AH235" s="34">
        <v>0</v>
      </c>
      <c r="AI235" s="34">
        <f t="shared" si="84"/>
        <v>50</v>
      </c>
    </row>
    <row r="236" spans="1:35" x14ac:dyDescent="0.25">
      <c r="A236" s="163" t="s">
        <v>294</v>
      </c>
      <c r="B236" s="162" t="s">
        <v>88</v>
      </c>
      <c r="C236" s="32">
        <v>0</v>
      </c>
      <c r="D236" s="32">
        <v>150</v>
      </c>
      <c r="E236" s="33">
        <v>0</v>
      </c>
      <c r="F236" s="33">
        <v>0</v>
      </c>
      <c r="G236" s="33">
        <f>D236+E236+F236</f>
        <v>150</v>
      </c>
      <c r="H236" s="32">
        <v>0</v>
      </c>
      <c r="I236" s="33">
        <v>0</v>
      </c>
      <c r="J236" s="33">
        <v>0</v>
      </c>
      <c r="K236" s="33">
        <f t="shared" si="79"/>
        <v>150</v>
      </c>
      <c r="L236" s="32">
        <v>0</v>
      </c>
      <c r="M236" s="32">
        <v>0</v>
      </c>
      <c r="N236" s="33">
        <f t="shared" si="80"/>
        <v>150</v>
      </c>
      <c r="O236" s="33">
        <v>550</v>
      </c>
      <c r="P236" s="33">
        <v>0</v>
      </c>
      <c r="Q236" s="33">
        <v>0</v>
      </c>
      <c r="R236" s="33">
        <f t="shared" si="91"/>
        <v>550</v>
      </c>
      <c r="S236" s="34">
        <v>0</v>
      </c>
      <c r="T236" s="35">
        <v>0</v>
      </c>
      <c r="U236" s="35">
        <f t="shared" si="90"/>
        <v>550</v>
      </c>
      <c r="V236" s="34">
        <v>550</v>
      </c>
      <c r="W236" s="34">
        <f>V236-U236</f>
        <v>0</v>
      </c>
      <c r="X236" s="35">
        <v>0</v>
      </c>
      <c r="Y236" s="34">
        <v>0</v>
      </c>
      <c r="Z236" s="35">
        <f t="shared" si="85"/>
        <v>550</v>
      </c>
      <c r="AA236" s="35">
        <v>0</v>
      </c>
      <c r="AB236" s="35">
        <v>0</v>
      </c>
      <c r="AC236" s="27">
        <f t="shared" si="57"/>
        <v>550</v>
      </c>
      <c r="AD236" s="26">
        <v>0</v>
      </c>
      <c r="AE236" s="26">
        <v>0</v>
      </c>
      <c r="AF236" s="26">
        <f t="shared" si="83"/>
        <v>550</v>
      </c>
      <c r="AG236" s="34">
        <v>0</v>
      </c>
      <c r="AH236" s="34">
        <v>0</v>
      </c>
      <c r="AI236" s="34">
        <f t="shared" si="84"/>
        <v>550</v>
      </c>
    </row>
    <row r="237" spans="1:35" ht="53.25" customHeight="1" x14ac:dyDescent="0.25">
      <c r="A237" s="190" t="s">
        <v>295</v>
      </c>
      <c r="B237" s="162" t="s">
        <v>88</v>
      </c>
      <c r="C237" s="191"/>
      <c r="D237" s="191">
        <v>0</v>
      </c>
      <c r="E237" s="192"/>
      <c r="F237" s="192"/>
      <c r="G237" s="192"/>
      <c r="H237" s="191"/>
      <c r="I237" s="192"/>
      <c r="J237" s="192"/>
      <c r="K237" s="192">
        <v>0</v>
      </c>
      <c r="L237" s="191">
        <v>0</v>
      </c>
      <c r="M237" s="191">
        <v>437</v>
      </c>
      <c r="N237" s="192">
        <f t="shared" si="80"/>
        <v>437</v>
      </c>
      <c r="O237" s="192">
        <v>475</v>
      </c>
      <c r="P237" s="192">
        <v>0</v>
      </c>
      <c r="Q237" s="192">
        <v>0</v>
      </c>
      <c r="R237" s="192">
        <f t="shared" si="91"/>
        <v>475</v>
      </c>
      <c r="S237" s="191">
        <v>0</v>
      </c>
      <c r="T237" s="192">
        <v>0</v>
      </c>
      <c r="U237" s="192">
        <f t="shared" si="90"/>
        <v>475</v>
      </c>
      <c r="V237" s="179">
        <v>48</v>
      </c>
      <c r="W237" s="179">
        <v>0</v>
      </c>
      <c r="X237" s="193">
        <v>0</v>
      </c>
      <c r="Y237" s="179">
        <v>0</v>
      </c>
      <c r="Z237" s="35">
        <f t="shared" si="85"/>
        <v>48</v>
      </c>
      <c r="AA237" s="35">
        <v>0</v>
      </c>
      <c r="AB237" s="35">
        <v>0</v>
      </c>
      <c r="AC237" s="27">
        <f t="shared" si="57"/>
        <v>48</v>
      </c>
      <c r="AD237" s="26">
        <v>0</v>
      </c>
      <c r="AE237" s="26">
        <v>0</v>
      </c>
      <c r="AF237" s="26">
        <f t="shared" si="83"/>
        <v>48</v>
      </c>
      <c r="AG237" s="34">
        <f>-25</f>
        <v>-25</v>
      </c>
      <c r="AH237" s="34">
        <v>0</v>
      </c>
      <c r="AI237" s="34">
        <f t="shared" si="84"/>
        <v>23</v>
      </c>
    </row>
    <row r="238" spans="1:35" ht="52.5" customHeight="1" x14ac:dyDescent="0.25">
      <c r="A238" s="190" t="s">
        <v>296</v>
      </c>
      <c r="B238" s="162" t="s">
        <v>88</v>
      </c>
      <c r="C238" s="191"/>
      <c r="D238" s="191"/>
      <c r="E238" s="192"/>
      <c r="F238" s="192"/>
      <c r="G238" s="192"/>
      <c r="H238" s="191"/>
      <c r="I238" s="192"/>
      <c r="J238" s="192"/>
      <c r="K238" s="192"/>
      <c r="L238" s="191"/>
      <c r="M238" s="191"/>
      <c r="N238" s="192"/>
      <c r="O238" s="192">
        <v>0</v>
      </c>
      <c r="P238" s="192"/>
      <c r="Q238" s="192"/>
      <c r="R238" s="192"/>
      <c r="S238" s="191"/>
      <c r="T238" s="192"/>
      <c r="U238" s="192">
        <v>0</v>
      </c>
      <c r="V238" s="179">
        <v>172</v>
      </c>
      <c r="W238" s="179">
        <f>20</f>
        <v>20</v>
      </c>
      <c r="X238" s="193">
        <v>0</v>
      </c>
      <c r="Y238" s="179">
        <v>0</v>
      </c>
      <c r="Z238" s="35">
        <f t="shared" si="85"/>
        <v>192</v>
      </c>
      <c r="AA238" s="35">
        <v>0</v>
      </c>
      <c r="AB238" s="35">
        <v>0</v>
      </c>
      <c r="AC238" s="27">
        <f t="shared" ref="AC238:AC302" si="92">Z238+AA238+AB238</f>
        <v>192</v>
      </c>
      <c r="AD238" s="26">
        <v>0</v>
      </c>
      <c r="AE238" s="26">
        <v>0</v>
      </c>
      <c r="AF238" s="26">
        <f t="shared" si="83"/>
        <v>192</v>
      </c>
      <c r="AG238" s="34">
        <v>0</v>
      </c>
      <c r="AH238" s="34">
        <v>0</v>
      </c>
      <c r="AI238" s="34">
        <f t="shared" si="84"/>
        <v>192</v>
      </c>
    </row>
    <row r="239" spans="1:35" ht="29.25" customHeight="1" x14ac:dyDescent="0.25">
      <c r="A239" s="28" t="s">
        <v>297</v>
      </c>
      <c r="B239" s="162"/>
      <c r="C239" s="32"/>
      <c r="D239" s="32"/>
      <c r="E239" s="33"/>
      <c r="F239" s="33"/>
      <c r="G239" s="33"/>
      <c r="H239" s="32"/>
      <c r="I239" s="33"/>
      <c r="J239" s="33"/>
      <c r="K239" s="33"/>
      <c r="L239" s="32"/>
      <c r="M239" s="32"/>
      <c r="N239" s="33"/>
      <c r="O239" s="33">
        <v>0</v>
      </c>
      <c r="P239" s="33">
        <v>0</v>
      </c>
      <c r="Q239" s="32">
        <v>240</v>
      </c>
      <c r="R239" s="33">
        <f>O239+P239+Q239</f>
        <v>240</v>
      </c>
      <c r="S239" s="32">
        <v>0</v>
      </c>
      <c r="T239" s="33">
        <v>0</v>
      </c>
      <c r="U239" s="33">
        <f t="shared" si="90"/>
        <v>240</v>
      </c>
      <c r="V239" s="34">
        <v>0</v>
      </c>
      <c r="W239" s="34">
        <f>120</f>
        <v>120</v>
      </c>
      <c r="X239" s="35">
        <v>0</v>
      </c>
      <c r="Y239" s="34">
        <v>0</v>
      </c>
      <c r="Z239" s="35">
        <f t="shared" si="85"/>
        <v>120</v>
      </c>
      <c r="AA239" s="35">
        <v>0</v>
      </c>
      <c r="AB239" s="35">
        <v>0</v>
      </c>
      <c r="AC239" s="27">
        <f t="shared" si="92"/>
        <v>120</v>
      </c>
      <c r="AD239" s="26">
        <v>0</v>
      </c>
      <c r="AE239" s="26">
        <v>0</v>
      </c>
      <c r="AF239" s="26">
        <f t="shared" si="83"/>
        <v>120</v>
      </c>
      <c r="AG239" s="34">
        <f>-120</f>
        <v>-120</v>
      </c>
      <c r="AH239" s="34">
        <v>0</v>
      </c>
      <c r="AI239" s="34">
        <f t="shared" si="84"/>
        <v>0</v>
      </c>
    </row>
    <row r="240" spans="1:35" x14ac:dyDescent="0.25">
      <c r="A240" s="28" t="s">
        <v>298</v>
      </c>
      <c r="B240" s="162" t="s">
        <v>88</v>
      </c>
      <c r="C240" s="41"/>
      <c r="D240" s="41"/>
      <c r="E240" s="42"/>
      <c r="F240" s="42"/>
      <c r="G240" s="42"/>
      <c r="H240" s="41"/>
      <c r="I240" s="42"/>
      <c r="J240" s="42"/>
      <c r="K240" s="42"/>
      <c r="L240" s="41"/>
      <c r="M240" s="41"/>
      <c r="N240" s="42"/>
      <c r="O240" s="42"/>
      <c r="P240" s="42"/>
      <c r="Q240" s="42"/>
      <c r="R240" s="33"/>
      <c r="S240" s="41"/>
      <c r="T240" s="42"/>
      <c r="U240" s="33"/>
      <c r="V240" s="34">
        <v>0</v>
      </c>
      <c r="W240" s="34">
        <f>5</f>
        <v>5</v>
      </c>
      <c r="X240" s="35">
        <v>0</v>
      </c>
      <c r="Y240" s="34">
        <v>0</v>
      </c>
      <c r="Z240" s="35">
        <f t="shared" si="85"/>
        <v>5</v>
      </c>
      <c r="AA240" s="35">
        <v>0</v>
      </c>
      <c r="AB240" s="35">
        <v>0</v>
      </c>
      <c r="AC240" s="27">
        <f t="shared" si="92"/>
        <v>5</v>
      </c>
      <c r="AD240" s="26">
        <v>0</v>
      </c>
      <c r="AE240" s="26">
        <v>0</v>
      </c>
      <c r="AF240" s="26">
        <f t="shared" si="83"/>
        <v>5</v>
      </c>
      <c r="AG240" s="34">
        <v>0</v>
      </c>
      <c r="AH240" s="34">
        <v>0</v>
      </c>
      <c r="AI240" s="34">
        <f t="shared" si="84"/>
        <v>5</v>
      </c>
    </row>
    <row r="241" spans="1:35" ht="15.75" customHeight="1" x14ac:dyDescent="0.25">
      <c r="A241" s="28" t="s">
        <v>299</v>
      </c>
      <c r="B241" s="162" t="s">
        <v>88</v>
      </c>
      <c r="C241" s="41"/>
      <c r="D241" s="41"/>
      <c r="E241" s="42"/>
      <c r="F241" s="42"/>
      <c r="G241" s="42"/>
      <c r="H241" s="41"/>
      <c r="I241" s="42"/>
      <c r="J241" s="42"/>
      <c r="K241" s="42"/>
      <c r="L241" s="41"/>
      <c r="M241" s="41"/>
      <c r="N241" s="42"/>
      <c r="O241" s="42"/>
      <c r="P241" s="42"/>
      <c r="Q241" s="42"/>
      <c r="R241" s="33"/>
      <c r="S241" s="41"/>
      <c r="T241" s="42"/>
      <c r="U241" s="33"/>
      <c r="V241" s="34">
        <v>0</v>
      </c>
      <c r="W241" s="34">
        <f>31.5</f>
        <v>31.5</v>
      </c>
      <c r="X241" s="35">
        <v>0</v>
      </c>
      <c r="Y241" s="34">
        <v>0</v>
      </c>
      <c r="Z241" s="35">
        <f t="shared" si="85"/>
        <v>31.5</v>
      </c>
      <c r="AA241" s="35">
        <v>0</v>
      </c>
      <c r="AB241" s="35">
        <v>0</v>
      </c>
      <c r="AC241" s="27">
        <f t="shared" si="92"/>
        <v>31.5</v>
      </c>
      <c r="AD241" s="26">
        <v>0</v>
      </c>
      <c r="AE241" s="26">
        <v>0</v>
      </c>
      <c r="AF241" s="26">
        <f t="shared" si="83"/>
        <v>31.5</v>
      </c>
      <c r="AG241" s="34">
        <f>-31.5</f>
        <v>-31.5</v>
      </c>
      <c r="AH241" s="34">
        <v>0</v>
      </c>
      <c r="AI241" s="34">
        <f t="shared" si="84"/>
        <v>0</v>
      </c>
    </row>
    <row r="242" spans="1:35" ht="25.5" x14ac:dyDescent="0.25">
      <c r="A242" s="36" t="s">
        <v>300</v>
      </c>
      <c r="B242" s="162" t="s">
        <v>88</v>
      </c>
      <c r="C242" s="41"/>
      <c r="D242" s="41"/>
      <c r="E242" s="42"/>
      <c r="F242" s="42"/>
      <c r="G242" s="42"/>
      <c r="H242" s="41"/>
      <c r="I242" s="42"/>
      <c r="J242" s="42"/>
      <c r="K242" s="42"/>
      <c r="L242" s="41"/>
      <c r="M242" s="41"/>
      <c r="N242" s="42"/>
      <c r="O242" s="42"/>
      <c r="P242" s="42"/>
      <c r="Q242" s="42"/>
      <c r="R242" s="33"/>
      <c r="S242" s="41"/>
      <c r="T242" s="42"/>
      <c r="U242" s="33"/>
      <c r="V242" s="34">
        <v>0</v>
      </c>
      <c r="W242" s="34"/>
      <c r="X242" s="35"/>
      <c r="Y242" s="34"/>
      <c r="Z242" s="35">
        <v>0</v>
      </c>
      <c r="AA242" s="35">
        <v>0</v>
      </c>
      <c r="AB242" s="35">
        <f>50</f>
        <v>50</v>
      </c>
      <c r="AC242" s="27">
        <f>Z242+AA242+AB242</f>
        <v>50</v>
      </c>
      <c r="AD242" s="26">
        <v>0</v>
      </c>
      <c r="AE242" s="26">
        <v>0</v>
      </c>
      <c r="AF242" s="26">
        <f t="shared" si="83"/>
        <v>50</v>
      </c>
      <c r="AG242" s="34">
        <v>0</v>
      </c>
      <c r="AH242" s="34">
        <v>0</v>
      </c>
      <c r="AI242" s="34">
        <f t="shared" si="84"/>
        <v>50</v>
      </c>
    </row>
    <row r="243" spans="1:35" ht="24" customHeight="1" x14ac:dyDescent="0.25">
      <c r="A243" s="28" t="s">
        <v>301</v>
      </c>
      <c r="B243" s="162" t="s">
        <v>88</v>
      </c>
      <c r="C243" s="41"/>
      <c r="D243" s="41"/>
      <c r="E243" s="42"/>
      <c r="F243" s="42"/>
      <c r="G243" s="42"/>
      <c r="H243" s="41"/>
      <c r="I243" s="42"/>
      <c r="J243" s="42"/>
      <c r="K243" s="42"/>
      <c r="L243" s="41"/>
      <c r="M243" s="41"/>
      <c r="N243" s="42"/>
      <c r="O243" s="42"/>
      <c r="P243" s="42"/>
      <c r="Q243" s="42"/>
      <c r="R243" s="33"/>
      <c r="S243" s="41"/>
      <c r="T243" s="42"/>
      <c r="U243" s="33"/>
      <c r="V243" s="34">
        <v>0</v>
      </c>
      <c r="W243" s="34"/>
      <c r="X243" s="35"/>
      <c r="Y243" s="34"/>
      <c r="Z243" s="35">
        <v>0</v>
      </c>
      <c r="AA243" s="35">
        <v>0</v>
      </c>
      <c r="AB243" s="35">
        <f>50</f>
        <v>50</v>
      </c>
      <c r="AC243" s="27">
        <f>Z243+AA243+AB243</f>
        <v>50</v>
      </c>
      <c r="AD243" s="26">
        <v>0</v>
      </c>
      <c r="AE243" s="26">
        <v>0</v>
      </c>
      <c r="AF243" s="26">
        <f t="shared" si="83"/>
        <v>50</v>
      </c>
      <c r="AG243" s="34">
        <v>0</v>
      </c>
      <c r="AH243" s="34">
        <v>0</v>
      </c>
      <c r="AI243" s="34">
        <f t="shared" si="84"/>
        <v>50</v>
      </c>
    </row>
    <row r="244" spans="1:35" x14ac:dyDescent="0.25">
      <c r="A244" s="28" t="s">
        <v>302</v>
      </c>
      <c r="B244" s="162" t="s">
        <v>88</v>
      </c>
      <c r="C244" s="32"/>
      <c r="D244" s="32"/>
      <c r="E244" s="33"/>
      <c r="F244" s="33"/>
      <c r="G244" s="33"/>
      <c r="H244" s="32"/>
      <c r="I244" s="33"/>
      <c r="J244" s="33"/>
      <c r="K244" s="33"/>
      <c r="L244" s="32"/>
      <c r="M244" s="32"/>
      <c r="N244" s="33"/>
      <c r="O244" s="32">
        <v>0</v>
      </c>
      <c r="P244" s="42"/>
      <c r="Q244" s="42"/>
      <c r="R244" s="33"/>
      <c r="S244" s="41"/>
      <c r="T244" s="42"/>
      <c r="U244" s="33">
        <v>0</v>
      </c>
      <c r="V244" s="34">
        <v>200</v>
      </c>
      <c r="W244" s="34">
        <f>200</f>
        <v>200</v>
      </c>
      <c r="X244" s="35">
        <v>0</v>
      </c>
      <c r="Y244" s="34">
        <v>0</v>
      </c>
      <c r="Z244" s="35">
        <f t="shared" si="85"/>
        <v>400</v>
      </c>
      <c r="AA244" s="35">
        <f>160</f>
        <v>160</v>
      </c>
      <c r="AB244" s="35">
        <v>0</v>
      </c>
      <c r="AC244" s="27">
        <f t="shared" si="92"/>
        <v>560</v>
      </c>
      <c r="AD244" s="26">
        <v>0</v>
      </c>
      <c r="AE244" s="26">
        <v>0</v>
      </c>
      <c r="AF244" s="26">
        <f t="shared" si="83"/>
        <v>560</v>
      </c>
      <c r="AG244" s="34">
        <v>0</v>
      </c>
      <c r="AH244" s="34">
        <v>0</v>
      </c>
      <c r="AI244" s="34">
        <f t="shared" si="84"/>
        <v>560</v>
      </c>
    </row>
    <row r="245" spans="1:35" ht="28.5" customHeight="1" x14ac:dyDescent="0.25">
      <c r="A245" s="28" t="s">
        <v>303</v>
      </c>
      <c r="B245" s="162" t="s">
        <v>88</v>
      </c>
      <c r="C245" s="41"/>
      <c r="D245" s="41"/>
      <c r="E245" s="42"/>
      <c r="F245" s="42"/>
      <c r="G245" s="42"/>
      <c r="H245" s="41"/>
      <c r="I245" s="42"/>
      <c r="J245" s="42"/>
      <c r="K245" s="42"/>
      <c r="L245" s="41"/>
      <c r="M245" s="41"/>
      <c r="N245" s="42"/>
      <c r="O245" s="42"/>
      <c r="P245" s="42"/>
      <c r="Q245" s="42"/>
      <c r="R245" s="33"/>
      <c r="S245" s="41"/>
      <c r="T245" s="42"/>
      <c r="U245" s="33"/>
      <c r="V245" s="34">
        <v>0</v>
      </c>
      <c r="W245" s="34">
        <f>20</f>
        <v>20</v>
      </c>
      <c r="X245" s="35">
        <v>0</v>
      </c>
      <c r="Y245" s="34">
        <v>0</v>
      </c>
      <c r="Z245" s="35">
        <f t="shared" si="85"/>
        <v>20</v>
      </c>
      <c r="AA245" s="35">
        <v>0</v>
      </c>
      <c r="AB245" s="35">
        <v>0</v>
      </c>
      <c r="AC245" s="27">
        <f t="shared" si="92"/>
        <v>20</v>
      </c>
      <c r="AD245" s="26">
        <v>0</v>
      </c>
      <c r="AE245" s="26">
        <v>0</v>
      </c>
      <c r="AF245" s="26">
        <f t="shared" si="83"/>
        <v>20</v>
      </c>
      <c r="AG245" s="34">
        <v>0</v>
      </c>
      <c r="AH245" s="34">
        <v>0</v>
      </c>
      <c r="AI245" s="34">
        <f>SUM(AF245:AH245)</f>
        <v>20</v>
      </c>
    </row>
    <row r="246" spans="1:35" ht="28.5" customHeight="1" x14ac:dyDescent="0.25">
      <c r="A246" s="28" t="s">
        <v>304</v>
      </c>
      <c r="B246" s="162" t="s">
        <v>88</v>
      </c>
      <c r="C246" s="32"/>
      <c r="D246" s="32"/>
      <c r="E246" s="33"/>
      <c r="F246" s="33"/>
      <c r="G246" s="33"/>
      <c r="H246" s="32"/>
      <c r="I246" s="33"/>
      <c r="J246" s="33"/>
      <c r="K246" s="33"/>
      <c r="L246" s="32"/>
      <c r="M246" s="32"/>
      <c r="N246" s="33"/>
      <c r="O246" s="33"/>
      <c r="P246" s="33"/>
      <c r="Q246" s="33"/>
      <c r="R246" s="33"/>
      <c r="S246" s="32"/>
      <c r="T246" s="33"/>
      <c r="U246" s="33"/>
      <c r="V246" s="34">
        <v>0</v>
      </c>
      <c r="W246" s="34">
        <f>20</f>
        <v>20</v>
      </c>
      <c r="X246" s="35">
        <v>0</v>
      </c>
      <c r="Y246" s="34">
        <v>0</v>
      </c>
      <c r="Z246" s="35">
        <f t="shared" si="85"/>
        <v>20</v>
      </c>
      <c r="AA246" s="35">
        <v>0</v>
      </c>
      <c r="AB246" s="35">
        <v>0</v>
      </c>
      <c r="AC246" s="35">
        <f t="shared" si="92"/>
        <v>20</v>
      </c>
      <c r="AD246" s="34">
        <v>0</v>
      </c>
      <c r="AE246" s="34">
        <v>0</v>
      </c>
      <c r="AF246" s="34">
        <f t="shared" si="83"/>
        <v>20</v>
      </c>
      <c r="AG246" s="34">
        <v>0</v>
      </c>
      <c r="AH246" s="34">
        <v>0</v>
      </c>
      <c r="AI246" s="34">
        <f t="shared" si="84"/>
        <v>20</v>
      </c>
    </row>
    <row r="247" spans="1:35" x14ac:dyDescent="0.25">
      <c r="A247" s="28" t="s">
        <v>305</v>
      </c>
      <c r="B247" s="176" t="s">
        <v>67</v>
      </c>
      <c r="C247" s="41"/>
      <c r="D247" s="41"/>
      <c r="E247" s="42"/>
      <c r="F247" s="42"/>
      <c r="G247" s="42"/>
      <c r="H247" s="41"/>
      <c r="I247" s="42"/>
      <c r="J247" s="42"/>
      <c r="K247" s="42"/>
      <c r="L247" s="41"/>
      <c r="M247" s="41"/>
      <c r="N247" s="42"/>
      <c r="O247" s="42"/>
      <c r="P247" s="42"/>
      <c r="Q247" s="42"/>
      <c r="R247" s="33"/>
      <c r="S247" s="44"/>
      <c r="T247" s="45"/>
      <c r="U247" s="35"/>
      <c r="V247" s="34">
        <v>0</v>
      </c>
      <c r="W247" s="34">
        <f>20</f>
        <v>20</v>
      </c>
      <c r="X247" s="35">
        <v>0</v>
      </c>
      <c r="Y247" s="34">
        <v>0</v>
      </c>
      <c r="Z247" s="35">
        <f t="shared" si="85"/>
        <v>20</v>
      </c>
      <c r="AA247" s="35">
        <v>0</v>
      </c>
      <c r="AB247" s="35">
        <v>0</v>
      </c>
      <c r="AC247" s="27">
        <f t="shared" si="92"/>
        <v>20</v>
      </c>
      <c r="AD247" s="26">
        <v>0</v>
      </c>
      <c r="AE247" s="26">
        <v>0</v>
      </c>
      <c r="AF247" s="26">
        <f t="shared" si="83"/>
        <v>20</v>
      </c>
      <c r="AG247" s="34">
        <v>0</v>
      </c>
      <c r="AH247" s="34">
        <v>0</v>
      </c>
      <c r="AI247" s="34">
        <f t="shared" si="84"/>
        <v>20</v>
      </c>
    </row>
    <row r="248" spans="1:35" ht="25.5" x14ac:dyDescent="0.25">
      <c r="A248" s="36" t="s">
        <v>306</v>
      </c>
      <c r="B248" s="194" t="s">
        <v>88</v>
      </c>
      <c r="C248" s="41"/>
      <c r="D248" s="41"/>
      <c r="E248" s="42"/>
      <c r="F248" s="42"/>
      <c r="G248" s="42"/>
      <c r="H248" s="41"/>
      <c r="I248" s="42"/>
      <c r="J248" s="42"/>
      <c r="K248" s="42"/>
      <c r="L248" s="41"/>
      <c r="M248" s="41"/>
      <c r="N248" s="42"/>
      <c r="O248" s="42"/>
      <c r="P248" s="42"/>
      <c r="Q248" s="42"/>
      <c r="R248" s="42"/>
      <c r="S248" s="41"/>
      <c r="T248" s="42"/>
      <c r="U248" s="42"/>
      <c r="V248" s="44">
        <v>0</v>
      </c>
      <c r="W248" s="44"/>
      <c r="X248" s="45"/>
      <c r="Y248" s="44"/>
      <c r="Z248" s="45">
        <v>0</v>
      </c>
      <c r="AA248" s="45">
        <f>200</f>
        <v>200</v>
      </c>
      <c r="AB248" s="45">
        <v>0</v>
      </c>
      <c r="AC248" s="27">
        <f t="shared" si="92"/>
        <v>200</v>
      </c>
      <c r="AD248" s="26">
        <v>0</v>
      </c>
      <c r="AE248" s="26">
        <v>0</v>
      </c>
      <c r="AF248" s="26">
        <f>SUM(AC248:AE248)</f>
        <v>200</v>
      </c>
      <c r="AG248" s="34">
        <v>0</v>
      </c>
      <c r="AH248" s="34">
        <v>0</v>
      </c>
      <c r="AI248" s="34">
        <f>SUM(AF248:AH248)</f>
        <v>200</v>
      </c>
    </row>
    <row r="249" spans="1:35" ht="25.5" x14ac:dyDescent="0.25">
      <c r="A249" s="28" t="s">
        <v>307</v>
      </c>
      <c r="B249" s="162" t="s">
        <v>88</v>
      </c>
      <c r="C249" s="32"/>
      <c r="D249" s="32"/>
      <c r="E249" s="33"/>
      <c r="F249" s="33"/>
      <c r="G249" s="33"/>
      <c r="H249" s="32"/>
      <c r="I249" s="33"/>
      <c r="J249" s="33"/>
      <c r="K249" s="33"/>
      <c r="L249" s="32"/>
      <c r="M249" s="32"/>
      <c r="N249" s="33"/>
      <c r="O249" s="33"/>
      <c r="P249" s="33"/>
      <c r="Q249" s="33"/>
      <c r="R249" s="33"/>
      <c r="S249" s="32"/>
      <c r="T249" s="33"/>
      <c r="U249" s="33"/>
      <c r="V249" s="34">
        <v>0</v>
      </c>
      <c r="W249" s="34"/>
      <c r="X249" s="35"/>
      <c r="Y249" s="34"/>
      <c r="Z249" s="35"/>
      <c r="AA249" s="35"/>
      <c r="AB249" s="35"/>
      <c r="AC249" s="35">
        <v>0</v>
      </c>
      <c r="AD249" s="34">
        <v>0</v>
      </c>
      <c r="AE249" s="34">
        <f>50</f>
        <v>50</v>
      </c>
      <c r="AF249" s="26">
        <f>SUM(AC249:AE249)</f>
        <v>50</v>
      </c>
      <c r="AG249" s="34">
        <v>0</v>
      </c>
      <c r="AH249" s="34">
        <v>0</v>
      </c>
      <c r="AI249" s="34">
        <f t="shared" si="84"/>
        <v>50</v>
      </c>
    </row>
    <row r="250" spans="1:35" ht="15.75" thickBot="1" x14ac:dyDescent="0.3">
      <c r="A250" s="195" t="s">
        <v>308</v>
      </c>
      <c r="B250" s="196"/>
      <c r="C250" s="105">
        <v>1491.43</v>
      </c>
      <c r="D250" s="105">
        <v>5051.5</v>
      </c>
      <c r="E250" s="43">
        <v>8.85</v>
      </c>
      <c r="F250" s="43">
        <f>200+4.9</f>
        <v>204.9</v>
      </c>
      <c r="G250" s="43">
        <f>D250+E250+F250</f>
        <v>5265.25</v>
      </c>
      <c r="H250" s="105">
        <v>-1015.68</v>
      </c>
      <c r="I250" s="43">
        <v>0</v>
      </c>
      <c r="J250" s="43">
        <v>0</v>
      </c>
      <c r="K250" s="43">
        <f t="shared" si="79"/>
        <v>4249.57</v>
      </c>
      <c r="L250" s="105">
        <v>0</v>
      </c>
      <c r="M250" s="105">
        <v>-722.87</v>
      </c>
      <c r="N250" s="43">
        <f>K250+L250+M250-50</f>
        <v>3476.7</v>
      </c>
      <c r="O250" s="43">
        <v>7785.8</v>
      </c>
      <c r="P250" s="43">
        <v>0</v>
      </c>
      <c r="Q250" s="43">
        <v>-10</v>
      </c>
      <c r="R250" s="43">
        <f>O250+P250+Q250</f>
        <v>7775.8</v>
      </c>
      <c r="S250" s="47">
        <v>-2861.13</v>
      </c>
      <c r="T250" s="46">
        <f>0</f>
        <v>0</v>
      </c>
      <c r="U250" s="46">
        <v>4914.67</v>
      </c>
      <c r="V250" s="47">
        <v>14939.5</v>
      </c>
      <c r="W250" s="47">
        <f>-76.5-20+869.42</f>
        <v>772.92</v>
      </c>
      <c r="X250" s="46">
        <v>0</v>
      </c>
      <c r="Y250" s="47">
        <v>0</v>
      </c>
      <c r="Z250" s="46">
        <f t="shared" si="85"/>
        <v>15712.42</v>
      </c>
      <c r="AA250" s="46">
        <f>-6850.15</f>
        <v>-6850.15</v>
      </c>
      <c r="AB250" s="46">
        <f>-50-50</f>
        <v>-100</v>
      </c>
      <c r="AC250" s="46">
        <f t="shared" si="92"/>
        <v>8762.27</v>
      </c>
      <c r="AD250" s="47">
        <v>-1691.61</v>
      </c>
      <c r="AE250" s="47">
        <f>-28-50-7.87</f>
        <v>-85.87</v>
      </c>
      <c r="AF250" s="47">
        <f>SUM(AC250:AE250)</f>
        <v>6984.7900000000009</v>
      </c>
      <c r="AG250" s="44">
        <f>-281-3610+25</f>
        <v>-3866</v>
      </c>
      <c r="AH250" s="44">
        <f>5.16</f>
        <v>5.16</v>
      </c>
      <c r="AI250" s="34">
        <f>SUM(AF250:AH250)</f>
        <v>3123.9500000000007</v>
      </c>
    </row>
    <row r="251" spans="1:35" ht="14.25" customHeight="1" thickBot="1" x14ac:dyDescent="0.3">
      <c r="A251" s="165" t="s">
        <v>309</v>
      </c>
      <c r="B251" s="155"/>
      <c r="C251" s="183">
        <f>C253+C254</f>
        <v>17130.3</v>
      </c>
      <c r="D251" s="183">
        <f>D253+D254</f>
        <v>5357</v>
      </c>
      <c r="E251" s="183">
        <f t="shared" ref="E251:K251" si="93">E253+E254</f>
        <v>-1991</v>
      </c>
      <c r="F251" s="183">
        <f t="shared" si="93"/>
        <v>8500</v>
      </c>
      <c r="G251" s="183">
        <f t="shared" si="93"/>
        <v>13869</v>
      </c>
      <c r="H251" s="183">
        <f t="shared" si="93"/>
        <v>4000</v>
      </c>
      <c r="I251" s="183">
        <f t="shared" si="93"/>
        <v>0</v>
      </c>
      <c r="J251" s="183">
        <f t="shared" si="93"/>
        <v>0</v>
      </c>
      <c r="K251" s="183">
        <f t="shared" si="93"/>
        <v>17869</v>
      </c>
      <c r="L251" s="159">
        <f>L253+L254</f>
        <v>850</v>
      </c>
      <c r="M251" s="159">
        <f t="shared" ref="M251:R251" si="94">M253+M254</f>
        <v>0</v>
      </c>
      <c r="N251" s="156">
        <f t="shared" si="94"/>
        <v>18719</v>
      </c>
      <c r="O251" s="156">
        <f t="shared" si="94"/>
        <v>52405</v>
      </c>
      <c r="P251" s="156">
        <f t="shared" si="94"/>
        <v>5900</v>
      </c>
      <c r="Q251" s="156">
        <f t="shared" si="94"/>
        <v>641</v>
      </c>
      <c r="R251" s="156">
        <f t="shared" si="94"/>
        <v>56215</v>
      </c>
      <c r="S251" s="128">
        <f t="shared" ref="S251:Y251" si="95">SUM(S253:S254)</f>
        <v>0</v>
      </c>
      <c r="T251" s="129">
        <f t="shared" si="95"/>
        <v>-1168</v>
      </c>
      <c r="U251" s="129">
        <f t="shared" si="95"/>
        <v>55047</v>
      </c>
      <c r="V251" s="128">
        <f t="shared" si="95"/>
        <v>25305</v>
      </c>
      <c r="W251" s="128">
        <f t="shared" si="95"/>
        <v>12131</v>
      </c>
      <c r="X251" s="129">
        <f t="shared" si="95"/>
        <v>0</v>
      </c>
      <c r="Y251" s="128">
        <f t="shared" si="95"/>
        <v>0</v>
      </c>
      <c r="Z251" s="129">
        <f t="shared" si="85"/>
        <v>37436</v>
      </c>
      <c r="AA251" s="129">
        <f>SUM(AA253:AA254)</f>
        <v>-3743</v>
      </c>
      <c r="AB251" s="129">
        <f>SUM(AB253:AB254)</f>
        <v>-2478</v>
      </c>
      <c r="AC251" s="129">
        <f t="shared" si="92"/>
        <v>31215</v>
      </c>
      <c r="AD251" s="128">
        <f>SUM(AD253:AD254)</f>
        <v>0</v>
      </c>
      <c r="AE251" s="128">
        <f>SUM(AE253:AE254)</f>
        <v>1998</v>
      </c>
      <c r="AF251" s="128">
        <f>SUM(AF253:AF254)</f>
        <v>32863</v>
      </c>
      <c r="AG251" s="128">
        <f>SUM(AG253:AG254)</f>
        <v>-1123</v>
      </c>
      <c r="AH251" s="128">
        <f>SUM(AH253:AH254)</f>
        <v>-121</v>
      </c>
      <c r="AI251" s="128">
        <f>SUM(AF251:AH251)</f>
        <v>31619</v>
      </c>
    </row>
    <row r="252" spans="1:35" ht="14.25" customHeight="1" x14ac:dyDescent="0.25">
      <c r="A252" s="167" t="s">
        <v>59</v>
      </c>
      <c r="B252" s="137"/>
      <c r="C252" s="24"/>
      <c r="D252" s="24"/>
      <c r="E252" s="25"/>
      <c r="F252" s="25"/>
      <c r="G252" s="25"/>
      <c r="H252" s="24"/>
      <c r="I252" s="25"/>
      <c r="J252" s="25"/>
      <c r="K252" s="131"/>
      <c r="L252" s="132"/>
      <c r="M252" s="132"/>
      <c r="N252" s="131"/>
      <c r="O252" s="131"/>
      <c r="P252" s="131"/>
      <c r="Q252" s="131"/>
      <c r="R252" s="131"/>
      <c r="S252" s="26"/>
      <c r="T252" s="27"/>
      <c r="U252" s="27"/>
      <c r="V252" s="26"/>
      <c r="W252" s="26"/>
      <c r="X252" s="27"/>
      <c r="Y252" s="26"/>
      <c r="Z252" s="27"/>
      <c r="AA252" s="27"/>
      <c r="AB252" s="27"/>
      <c r="AC252" s="27"/>
      <c r="AD252" s="26"/>
      <c r="AE252" s="26"/>
      <c r="AF252" s="26"/>
      <c r="AG252" s="26"/>
      <c r="AH252" s="26"/>
      <c r="AI252" s="26"/>
    </row>
    <row r="253" spans="1:35" x14ac:dyDescent="0.25">
      <c r="A253" s="163" t="s">
        <v>310</v>
      </c>
      <c r="B253" s="141"/>
      <c r="C253" s="32">
        <v>0</v>
      </c>
      <c r="D253" s="32">
        <v>0</v>
      </c>
      <c r="E253" s="33">
        <v>0</v>
      </c>
      <c r="F253" s="33">
        <v>0</v>
      </c>
      <c r="G253" s="33">
        <f>D253+E253+F253</f>
        <v>0</v>
      </c>
      <c r="H253" s="32">
        <v>0</v>
      </c>
      <c r="I253" s="33">
        <v>0</v>
      </c>
      <c r="J253" s="33">
        <v>0</v>
      </c>
      <c r="K253" s="33">
        <f>G253+H253+I253+J253</f>
        <v>0</v>
      </c>
      <c r="L253" s="32">
        <v>0</v>
      </c>
      <c r="M253" s="32">
        <v>0</v>
      </c>
      <c r="N253" s="33">
        <f>K253+L253+M253</f>
        <v>0</v>
      </c>
      <c r="O253" s="33">
        <v>0</v>
      </c>
      <c r="P253" s="33">
        <v>0</v>
      </c>
      <c r="Q253" s="33">
        <v>0</v>
      </c>
      <c r="R253" s="31">
        <f>O253+P253+Q253</f>
        <v>0</v>
      </c>
      <c r="S253" s="34">
        <v>0</v>
      </c>
      <c r="T253" s="35">
        <v>0</v>
      </c>
      <c r="U253" s="35">
        <f>SUM(R253:T253)</f>
        <v>0</v>
      </c>
      <c r="V253" s="34">
        <v>13262</v>
      </c>
      <c r="W253" s="34">
        <f>3624</f>
        <v>3624</v>
      </c>
      <c r="X253" s="35">
        <v>0</v>
      </c>
      <c r="Y253" s="34">
        <v>0</v>
      </c>
      <c r="Z253" s="35">
        <f t="shared" si="85"/>
        <v>16886</v>
      </c>
      <c r="AA253" s="35">
        <v>0</v>
      </c>
      <c r="AB253" s="35">
        <f>-1269</f>
        <v>-1269</v>
      </c>
      <c r="AC253" s="27">
        <f t="shared" si="92"/>
        <v>15617</v>
      </c>
      <c r="AD253" s="26">
        <v>0</v>
      </c>
      <c r="AE253" s="26">
        <v>0</v>
      </c>
      <c r="AF253" s="26">
        <f>SUM(AC253:AE253)</f>
        <v>15617</v>
      </c>
      <c r="AG253" s="34">
        <v>0</v>
      </c>
      <c r="AH253" s="34">
        <f>-568</f>
        <v>-568</v>
      </c>
      <c r="AI253" s="34">
        <f>SUM(AF253:AH253)</f>
        <v>15049</v>
      </c>
    </row>
    <row r="254" spans="1:35" ht="15.75" thickBot="1" x14ac:dyDescent="0.3">
      <c r="A254" s="164" t="s">
        <v>311</v>
      </c>
      <c r="B254" s="147"/>
      <c r="C254" s="41">
        <v>17130.3</v>
      </c>
      <c r="D254" s="41">
        <v>5357</v>
      </c>
      <c r="E254" s="42">
        <f>-641-350-1000</f>
        <v>-1991</v>
      </c>
      <c r="F254" s="42">
        <v>8500</v>
      </c>
      <c r="G254" s="42">
        <f>D254+E254+F254+2153-650+103+397</f>
        <v>13869</v>
      </c>
      <c r="H254" s="41">
        <v>4000</v>
      </c>
      <c r="I254" s="42">
        <v>0</v>
      </c>
      <c r="J254" s="42">
        <v>0</v>
      </c>
      <c r="K254" s="42">
        <v>17869</v>
      </c>
      <c r="L254" s="41">
        <f>200+650</f>
        <v>850</v>
      </c>
      <c r="M254" s="41">
        <v>0</v>
      </c>
      <c r="N254" s="42">
        <f>K254+L254+M254</f>
        <v>18719</v>
      </c>
      <c r="O254" s="42">
        <v>52405</v>
      </c>
      <c r="P254" s="42">
        <f>5700+100+600-500</f>
        <v>5900</v>
      </c>
      <c r="Q254" s="42">
        <v>641</v>
      </c>
      <c r="R254" s="39">
        <f>SUM(O254:Q254)-6000+3269</f>
        <v>56215</v>
      </c>
      <c r="S254" s="44">
        <v>0</v>
      </c>
      <c r="T254" s="45">
        <f>-1168</f>
        <v>-1168</v>
      </c>
      <c r="U254" s="45">
        <f>SUM(R254:T254)</f>
        <v>55047</v>
      </c>
      <c r="V254" s="44">
        <v>12043</v>
      </c>
      <c r="W254" s="44">
        <f>152+1420+6935</f>
        <v>8507</v>
      </c>
      <c r="X254" s="45">
        <v>0</v>
      </c>
      <c r="Y254" s="44">
        <v>0</v>
      </c>
      <c r="Z254" s="45">
        <f t="shared" si="85"/>
        <v>20550</v>
      </c>
      <c r="AA254" s="45">
        <f>-3743</f>
        <v>-3743</v>
      </c>
      <c r="AB254" s="45">
        <f>139-1116-232</f>
        <v>-1209</v>
      </c>
      <c r="AC254" s="45">
        <f t="shared" si="92"/>
        <v>15598</v>
      </c>
      <c r="AD254" s="44">
        <v>0</v>
      </c>
      <c r="AE254" s="44">
        <f>3883+131-2016</f>
        <v>1998</v>
      </c>
      <c r="AF254" s="44">
        <f>SUM(AC254:AE254)-301-49</f>
        <v>17246</v>
      </c>
      <c r="AG254" s="44">
        <f>-1123</f>
        <v>-1123</v>
      </c>
      <c r="AH254" s="44">
        <f>447</f>
        <v>447</v>
      </c>
      <c r="AI254" s="34">
        <f>SUM(AF254:AH254)</f>
        <v>16570</v>
      </c>
    </row>
    <row r="255" spans="1:35" ht="15.75" thickBot="1" x14ac:dyDescent="0.3">
      <c r="A255" s="165" t="s">
        <v>312</v>
      </c>
      <c r="B255" s="155"/>
      <c r="C255" s="183">
        <f>SUM(C257:C277)</f>
        <v>19345.759999999998</v>
      </c>
      <c r="D255" s="183">
        <f>SUM(D257:D277)</f>
        <v>18478.559999999998</v>
      </c>
      <c r="E255" s="183">
        <f>SUM(E257:E277)</f>
        <v>500</v>
      </c>
      <c r="F255" s="183">
        <f>SUM(F257:F277)</f>
        <v>1125.3</v>
      </c>
      <c r="G255" s="187">
        <f>D255+E255+F255</f>
        <v>20103.859999999997</v>
      </c>
      <c r="H255" s="183">
        <f>H257+H258+H259+H260+H261+H262+H265+H266+H267+H268+H269+H270+H271+H272+H277</f>
        <v>0</v>
      </c>
      <c r="I255" s="183">
        <f>I257+I258+I259+I260+I261+I262+I265+I266+I267+I268+I269+I270+I271+I272+I277</f>
        <v>0</v>
      </c>
      <c r="J255" s="183">
        <f>J257+J258+J259+J260+J261+J262+J265+J266+J267+J268+J269+J270+J271+J272+J277</f>
        <v>0</v>
      </c>
      <c r="K255" s="156">
        <f>G255+H255+I255+J255</f>
        <v>20103.859999999997</v>
      </c>
      <c r="L255" s="159">
        <f>L257+L258+L259+L260+L261+L262+L265+L266+L267+L268+L269+L270+L271+L272+L277</f>
        <v>7.44</v>
      </c>
      <c r="M255" s="159">
        <f>M257+M258+M259+M260+M261+M262+M265+M266+M267+M268+M269+M270+M271+M272+M277</f>
        <v>200</v>
      </c>
      <c r="N255" s="156">
        <f>N257+N258+N259+N260+N261+N262+N265+N266+N267+N268+N269+N270+N271+N272+N277</f>
        <v>20311.3</v>
      </c>
      <c r="O255" s="156">
        <f>SUM(O257:O277)</f>
        <v>19331.21</v>
      </c>
      <c r="P255" s="156" t="e">
        <f>P257+P258+P259+P260+P261+P262+P265+P266+P267+P268+P269+P270+P271+P272+P277+#REF!</f>
        <v>#REF!</v>
      </c>
      <c r="Q255" s="156" t="e">
        <f>Q257+Q258+Q259+Q260+Q261+Q262+Q265+Q266+Q267+Q268+Q269+Q270+Q271+Q272+Q277+#REF!</f>
        <v>#REF!</v>
      </c>
      <c r="R255" s="156">
        <f t="shared" ref="R255:X255" si="96">SUM(R257:R277)</f>
        <v>20968.29</v>
      </c>
      <c r="S255" s="128">
        <f t="shared" si="96"/>
        <v>60</v>
      </c>
      <c r="T255" s="129">
        <f t="shared" si="96"/>
        <v>0</v>
      </c>
      <c r="U255" s="129">
        <f t="shared" si="96"/>
        <v>21028.29</v>
      </c>
      <c r="V255" s="128">
        <f t="shared" si="96"/>
        <v>18284.900000000001</v>
      </c>
      <c r="W255" s="128">
        <f t="shared" si="96"/>
        <v>2069.1799999999998</v>
      </c>
      <c r="X255" s="129">
        <f t="shared" si="96"/>
        <v>0</v>
      </c>
      <c r="Y255" s="128">
        <f>SUM(Y257:Y277)</f>
        <v>-120</v>
      </c>
      <c r="Z255" s="129">
        <f t="shared" si="85"/>
        <v>20234.080000000002</v>
      </c>
      <c r="AA255" s="129">
        <f>SUM(AA257:AA277)</f>
        <v>-2200.1</v>
      </c>
      <c r="AB255" s="129">
        <f>SUM(AB257:AB277)</f>
        <v>632.1</v>
      </c>
      <c r="AC255" s="129">
        <f t="shared" si="92"/>
        <v>18666.080000000002</v>
      </c>
      <c r="AD255" s="128">
        <f>SUM(AD257:AD277)</f>
        <v>-2097.5</v>
      </c>
      <c r="AE255" s="128">
        <f>SUM(AE257:AE277)</f>
        <v>0</v>
      </c>
      <c r="AF255" s="128">
        <f>SUM(AF257:AF277)</f>
        <v>16658.07</v>
      </c>
      <c r="AG255" s="128">
        <f>SUM(AG257:AG277)</f>
        <v>-1837.22</v>
      </c>
      <c r="AH255" s="128">
        <f>SUM(AH257:AH277)</f>
        <v>0</v>
      </c>
      <c r="AI255" s="128">
        <f>SUM(AF255:AH255)</f>
        <v>14820.85</v>
      </c>
    </row>
    <row r="256" spans="1:35" x14ac:dyDescent="0.25">
      <c r="A256" s="167" t="s">
        <v>59</v>
      </c>
      <c r="B256" s="137"/>
      <c r="C256" s="24"/>
      <c r="D256" s="24"/>
      <c r="E256" s="25"/>
      <c r="F256" s="25"/>
      <c r="G256" s="25"/>
      <c r="H256" s="24"/>
      <c r="I256" s="25"/>
      <c r="J256" s="25"/>
      <c r="K256" s="131"/>
      <c r="L256" s="132"/>
      <c r="M256" s="132"/>
      <c r="N256" s="131"/>
      <c r="O256" s="131"/>
      <c r="P256" s="131"/>
      <c r="Q256" s="131"/>
      <c r="R256" s="131"/>
      <c r="S256" s="26"/>
      <c r="T256" s="27"/>
      <c r="U256" s="27"/>
      <c r="V256" s="26"/>
      <c r="W256" s="26"/>
      <c r="X256" s="27"/>
      <c r="Y256" s="26"/>
      <c r="Z256" s="27"/>
      <c r="AA256" s="27"/>
      <c r="AB256" s="27"/>
      <c r="AC256" s="27"/>
      <c r="AD256" s="26"/>
      <c r="AE256" s="26"/>
      <c r="AF256" s="26"/>
      <c r="AG256" s="26"/>
      <c r="AH256" s="26"/>
      <c r="AI256" s="26"/>
    </row>
    <row r="257" spans="1:35" ht="25.5" customHeight="1" x14ac:dyDescent="0.25">
      <c r="A257" s="28" t="s">
        <v>313</v>
      </c>
      <c r="B257" s="141"/>
      <c r="C257" s="32">
        <v>993</v>
      </c>
      <c r="D257" s="32">
        <v>0</v>
      </c>
      <c r="E257" s="33">
        <v>0</v>
      </c>
      <c r="F257" s="33">
        <v>0</v>
      </c>
      <c r="G257" s="33">
        <f>D257+E257+F257</f>
        <v>0</v>
      </c>
      <c r="H257" s="32">
        <v>0</v>
      </c>
      <c r="I257" s="33">
        <v>0</v>
      </c>
      <c r="J257" s="33">
        <v>0</v>
      </c>
      <c r="K257" s="33">
        <f>G257+H257+I257+J257</f>
        <v>0</v>
      </c>
      <c r="L257" s="32">
        <v>0</v>
      </c>
      <c r="M257" s="32">
        <v>0</v>
      </c>
      <c r="N257" s="33">
        <f>K257+L257+M257</f>
        <v>0</v>
      </c>
      <c r="O257" s="33">
        <v>1000</v>
      </c>
      <c r="P257" s="33">
        <v>0</v>
      </c>
      <c r="Q257" s="33">
        <v>0</v>
      </c>
      <c r="R257" s="31">
        <f t="shared" ref="R257:R272" si="97">O257+P257+Q257</f>
        <v>1000</v>
      </c>
      <c r="S257" s="32">
        <v>0</v>
      </c>
      <c r="T257" s="33">
        <v>0</v>
      </c>
      <c r="U257" s="33">
        <f>SUM(R257:T257)</f>
        <v>1000</v>
      </c>
      <c r="V257" s="34">
        <v>0</v>
      </c>
      <c r="W257" s="34">
        <v>0</v>
      </c>
      <c r="X257" s="35">
        <v>0</v>
      </c>
      <c r="Y257" s="34">
        <v>0</v>
      </c>
      <c r="Z257" s="35">
        <f t="shared" si="85"/>
        <v>0</v>
      </c>
      <c r="AA257" s="35">
        <f t="shared" si="85"/>
        <v>0</v>
      </c>
      <c r="AB257" s="35">
        <f t="shared" si="85"/>
        <v>0</v>
      </c>
      <c r="AC257" s="27">
        <f t="shared" si="92"/>
        <v>0</v>
      </c>
      <c r="AD257" s="26">
        <v>0</v>
      </c>
      <c r="AE257" s="26">
        <v>0</v>
      </c>
      <c r="AF257" s="26">
        <f>SUM(AC257:AE257)</f>
        <v>0</v>
      </c>
      <c r="AG257" s="34">
        <f>168.57</f>
        <v>168.57</v>
      </c>
      <c r="AH257" s="34">
        <v>0</v>
      </c>
      <c r="AI257" s="34">
        <f>SUM(AF257:AH257)</f>
        <v>168.57</v>
      </c>
    </row>
    <row r="258" spans="1:35" ht="43.5" customHeight="1" x14ac:dyDescent="0.25">
      <c r="A258" s="28" t="s">
        <v>314</v>
      </c>
      <c r="B258" s="162" t="s">
        <v>315</v>
      </c>
      <c r="C258" s="32">
        <v>1058.3</v>
      </c>
      <c r="D258" s="32">
        <v>1000</v>
      </c>
      <c r="E258" s="33">
        <v>0</v>
      </c>
      <c r="F258" s="33">
        <v>-130</v>
      </c>
      <c r="G258" s="33">
        <f t="shared" ref="G258:G277" si="98">D258+E258+F258</f>
        <v>870</v>
      </c>
      <c r="H258" s="32">
        <v>0</v>
      </c>
      <c r="I258" s="33">
        <v>0</v>
      </c>
      <c r="J258" s="33">
        <v>0</v>
      </c>
      <c r="K258" s="33">
        <f t="shared" ref="K258:K277" si="99">G258+H258+I258+J258</f>
        <v>870</v>
      </c>
      <c r="L258" s="32">
        <v>0</v>
      </c>
      <c r="M258" s="32">
        <v>0</v>
      </c>
      <c r="N258" s="33">
        <f t="shared" ref="N258:N277" si="100">K258+L258+M258</f>
        <v>870</v>
      </c>
      <c r="O258" s="33">
        <v>1000</v>
      </c>
      <c r="P258" s="33">
        <v>0</v>
      </c>
      <c r="Q258" s="33">
        <v>337.6</v>
      </c>
      <c r="R258" s="31">
        <f t="shared" si="97"/>
        <v>1337.6</v>
      </c>
      <c r="S258" s="32">
        <v>0</v>
      </c>
      <c r="T258" s="33">
        <v>0</v>
      </c>
      <c r="U258" s="33">
        <f>SUM(R258:T258)</f>
        <v>1337.6</v>
      </c>
      <c r="V258" s="34">
        <v>1000</v>
      </c>
      <c r="W258" s="34">
        <v>0</v>
      </c>
      <c r="X258" s="35">
        <v>0</v>
      </c>
      <c r="Y258" s="34">
        <v>0</v>
      </c>
      <c r="Z258" s="35">
        <f t="shared" si="85"/>
        <v>1000</v>
      </c>
      <c r="AA258" s="35">
        <f>-700</f>
        <v>-700</v>
      </c>
      <c r="AB258" s="35">
        <v>0</v>
      </c>
      <c r="AC258" s="27">
        <f t="shared" si="92"/>
        <v>300</v>
      </c>
      <c r="AD258" s="26">
        <v>0</v>
      </c>
      <c r="AE258" s="26">
        <v>0</v>
      </c>
      <c r="AF258" s="26">
        <f t="shared" ref="AF258:AF276" si="101">SUM(AC258:AE258)</f>
        <v>300</v>
      </c>
      <c r="AG258" s="34">
        <f>-300</f>
        <v>-300</v>
      </c>
      <c r="AH258" s="34">
        <v>0</v>
      </c>
      <c r="AI258" s="34">
        <f t="shared" ref="AI258:AI277" si="102">SUM(AF258:AH258)</f>
        <v>0</v>
      </c>
    </row>
    <row r="259" spans="1:35" ht="30" customHeight="1" x14ac:dyDescent="0.25">
      <c r="A259" s="28" t="s">
        <v>316</v>
      </c>
      <c r="B259" s="162" t="s">
        <v>317</v>
      </c>
      <c r="C259" s="32">
        <v>473</v>
      </c>
      <c r="D259" s="32">
        <v>400</v>
      </c>
      <c r="E259" s="33">
        <v>0</v>
      </c>
      <c r="F259" s="33">
        <v>130</v>
      </c>
      <c r="G259" s="33">
        <f t="shared" si="98"/>
        <v>530</v>
      </c>
      <c r="H259" s="32">
        <v>0</v>
      </c>
      <c r="I259" s="33">
        <v>0</v>
      </c>
      <c r="J259" s="33">
        <v>0</v>
      </c>
      <c r="K259" s="33">
        <f t="shared" si="99"/>
        <v>530</v>
      </c>
      <c r="L259" s="32">
        <v>0</v>
      </c>
      <c r="M259" s="32">
        <v>0</v>
      </c>
      <c r="N259" s="33">
        <f t="shared" si="100"/>
        <v>530</v>
      </c>
      <c r="O259" s="33">
        <v>400</v>
      </c>
      <c r="P259" s="33">
        <v>0</v>
      </c>
      <c r="Q259" s="33">
        <v>133.9</v>
      </c>
      <c r="R259" s="31">
        <f t="shared" si="97"/>
        <v>533.9</v>
      </c>
      <c r="S259" s="32">
        <v>0</v>
      </c>
      <c r="T259" s="33">
        <v>0</v>
      </c>
      <c r="U259" s="33">
        <f t="shared" ref="U259:U277" si="103">SUM(R259:T259)</f>
        <v>533.9</v>
      </c>
      <c r="V259" s="34">
        <v>400</v>
      </c>
      <c r="W259" s="34">
        <v>0</v>
      </c>
      <c r="X259" s="35">
        <v>0</v>
      </c>
      <c r="Y259" s="34">
        <v>0</v>
      </c>
      <c r="Z259" s="35">
        <f t="shared" si="85"/>
        <v>400</v>
      </c>
      <c r="AA259" s="35">
        <f>-175.1</f>
        <v>-175.1</v>
      </c>
      <c r="AB259" s="35">
        <v>0</v>
      </c>
      <c r="AC259" s="27">
        <f t="shared" si="92"/>
        <v>224.9</v>
      </c>
      <c r="AD259" s="26">
        <v>0</v>
      </c>
      <c r="AE259" s="26">
        <v>0</v>
      </c>
      <c r="AF259" s="26">
        <f t="shared" si="101"/>
        <v>224.9</v>
      </c>
      <c r="AG259" s="34">
        <v>0</v>
      </c>
      <c r="AH259" s="34">
        <v>0</v>
      </c>
      <c r="AI259" s="34">
        <f t="shared" si="102"/>
        <v>224.9</v>
      </c>
    </row>
    <row r="260" spans="1:35" ht="17.25" customHeight="1" x14ac:dyDescent="0.25">
      <c r="A260" s="28" t="s">
        <v>318</v>
      </c>
      <c r="B260" s="197" t="s">
        <v>88</v>
      </c>
      <c r="C260" s="32">
        <v>5519</v>
      </c>
      <c r="D260" s="32">
        <v>5679</v>
      </c>
      <c r="E260" s="33">
        <v>0</v>
      </c>
      <c r="F260" s="33">
        <v>378</v>
      </c>
      <c r="G260" s="33">
        <f t="shared" si="98"/>
        <v>6057</v>
      </c>
      <c r="H260" s="32">
        <v>0</v>
      </c>
      <c r="I260" s="33">
        <v>0</v>
      </c>
      <c r="J260" s="33">
        <v>0</v>
      </c>
      <c r="K260" s="33">
        <f t="shared" si="99"/>
        <v>6057</v>
      </c>
      <c r="L260" s="32">
        <v>0</v>
      </c>
      <c r="M260" s="32">
        <v>0</v>
      </c>
      <c r="N260" s="33">
        <f t="shared" si="100"/>
        <v>6057</v>
      </c>
      <c r="O260" s="33">
        <v>6057</v>
      </c>
      <c r="P260" s="33">
        <v>0</v>
      </c>
      <c r="Q260" s="33">
        <v>200</v>
      </c>
      <c r="R260" s="31">
        <f t="shared" si="97"/>
        <v>6257</v>
      </c>
      <c r="S260" s="34">
        <v>0</v>
      </c>
      <c r="T260" s="35">
        <v>0</v>
      </c>
      <c r="U260" s="33">
        <f t="shared" si="103"/>
        <v>6257</v>
      </c>
      <c r="V260" s="34">
        <v>6257</v>
      </c>
      <c r="W260" s="34">
        <f>475</f>
        <v>475</v>
      </c>
      <c r="X260" s="35">
        <v>0</v>
      </c>
      <c r="Y260" s="34">
        <v>0</v>
      </c>
      <c r="Z260" s="35">
        <f t="shared" si="85"/>
        <v>6732</v>
      </c>
      <c r="AA260" s="35">
        <v>0</v>
      </c>
      <c r="AB260" s="35">
        <v>0</v>
      </c>
      <c r="AC260" s="27">
        <f t="shared" si="92"/>
        <v>6732</v>
      </c>
      <c r="AD260" s="26">
        <v>-20</v>
      </c>
      <c r="AE260" s="26">
        <v>0</v>
      </c>
      <c r="AF260" s="26">
        <f t="shared" si="101"/>
        <v>6712</v>
      </c>
      <c r="AG260" s="34">
        <v>0</v>
      </c>
      <c r="AH260" s="34">
        <v>0</v>
      </c>
      <c r="AI260" s="34">
        <f t="shared" si="102"/>
        <v>6712</v>
      </c>
    </row>
    <row r="261" spans="1:35" ht="26.25" customHeight="1" x14ac:dyDescent="0.25">
      <c r="A261" s="28" t="s">
        <v>319</v>
      </c>
      <c r="B261" s="197" t="s">
        <v>88</v>
      </c>
      <c r="C261" s="32">
        <v>0</v>
      </c>
      <c r="D261" s="32">
        <v>378</v>
      </c>
      <c r="E261" s="33">
        <v>0</v>
      </c>
      <c r="F261" s="33">
        <v>-378</v>
      </c>
      <c r="G261" s="33">
        <f t="shared" si="98"/>
        <v>0</v>
      </c>
      <c r="H261" s="32">
        <v>0</v>
      </c>
      <c r="I261" s="33">
        <v>0</v>
      </c>
      <c r="J261" s="33">
        <v>0</v>
      </c>
      <c r="K261" s="33">
        <f t="shared" si="99"/>
        <v>0</v>
      </c>
      <c r="L261" s="32">
        <v>0</v>
      </c>
      <c r="M261" s="32">
        <v>0</v>
      </c>
      <c r="N261" s="33">
        <f t="shared" si="100"/>
        <v>0</v>
      </c>
      <c r="O261" s="33">
        <v>200</v>
      </c>
      <c r="P261" s="33">
        <v>0</v>
      </c>
      <c r="Q261" s="33">
        <v>-200</v>
      </c>
      <c r="R261" s="31">
        <f t="shared" si="97"/>
        <v>0</v>
      </c>
      <c r="S261" s="34">
        <v>0</v>
      </c>
      <c r="T261" s="35">
        <v>0</v>
      </c>
      <c r="U261" s="33">
        <f t="shared" si="103"/>
        <v>0</v>
      </c>
      <c r="V261" s="34">
        <v>255</v>
      </c>
      <c r="W261" s="34">
        <f>-255</f>
        <v>-255</v>
      </c>
      <c r="X261" s="35">
        <v>0</v>
      </c>
      <c r="Y261" s="34">
        <v>0</v>
      </c>
      <c r="Z261" s="35">
        <f t="shared" si="85"/>
        <v>0</v>
      </c>
      <c r="AA261" s="35">
        <v>0</v>
      </c>
      <c r="AB261" s="35">
        <v>0</v>
      </c>
      <c r="AC261" s="27">
        <f t="shared" si="92"/>
        <v>0</v>
      </c>
      <c r="AD261" s="26">
        <v>0</v>
      </c>
      <c r="AE261" s="26">
        <v>0</v>
      </c>
      <c r="AF261" s="26">
        <f t="shared" si="101"/>
        <v>0</v>
      </c>
      <c r="AG261" s="34">
        <v>0</v>
      </c>
      <c r="AH261" s="34">
        <v>0</v>
      </c>
      <c r="AI261" s="34">
        <f t="shared" si="102"/>
        <v>0</v>
      </c>
    </row>
    <row r="262" spans="1:35" ht="24" customHeight="1" x14ac:dyDescent="0.25">
      <c r="A262" s="28" t="s">
        <v>320</v>
      </c>
      <c r="B262" s="197" t="s">
        <v>88</v>
      </c>
      <c r="C262" s="32">
        <v>660</v>
      </c>
      <c r="D262" s="32">
        <v>450</v>
      </c>
      <c r="E262" s="33">
        <v>0</v>
      </c>
      <c r="F262" s="33">
        <v>0</v>
      </c>
      <c r="G262" s="33">
        <f t="shared" si="98"/>
        <v>450</v>
      </c>
      <c r="H262" s="32">
        <v>0</v>
      </c>
      <c r="I262" s="33">
        <v>0</v>
      </c>
      <c r="J262" s="33">
        <v>0</v>
      </c>
      <c r="K262" s="33">
        <f t="shared" si="99"/>
        <v>450</v>
      </c>
      <c r="L262" s="32">
        <v>0</v>
      </c>
      <c r="M262" s="32">
        <v>0</v>
      </c>
      <c r="N262" s="33">
        <f t="shared" si="100"/>
        <v>450</v>
      </c>
      <c r="O262" s="33">
        <v>450</v>
      </c>
      <c r="P262" s="33">
        <v>0</v>
      </c>
      <c r="Q262" s="33">
        <v>0</v>
      </c>
      <c r="R262" s="30">
        <f t="shared" si="97"/>
        <v>450</v>
      </c>
      <c r="S262" s="34">
        <v>0</v>
      </c>
      <c r="T262" s="35">
        <v>0</v>
      </c>
      <c r="U262" s="33">
        <f t="shared" si="103"/>
        <v>450</v>
      </c>
      <c r="V262" s="34">
        <v>550</v>
      </c>
      <c r="W262" s="34">
        <v>0</v>
      </c>
      <c r="X262" s="35">
        <v>0</v>
      </c>
      <c r="Y262" s="34">
        <v>0</v>
      </c>
      <c r="Z262" s="35">
        <f t="shared" si="85"/>
        <v>550</v>
      </c>
      <c r="AA262" s="35">
        <v>0</v>
      </c>
      <c r="AB262" s="35">
        <v>0</v>
      </c>
      <c r="AC262" s="27">
        <f t="shared" si="92"/>
        <v>550</v>
      </c>
      <c r="AD262" s="198">
        <v>-550</v>
      </c>
      <c r="AE262" s="198">
        <v>0</v>
      </c>
      <c r="AF262" s="26">
        <f t="shared" si="101"/>
        <v>0</v>
      </c>
      <c r="AG262" s="34">
        <v>0</v>
      </c>
      <c r="AH262" s="34">
        <v>0</v>
      </c>
      <c r="AI262" s="34">
        <f t="shared" si="102"/>
        <v>0</v>
      </c>
    </row>
    <row r="263" spans="1:35" ht="16.5" customHeight="1" x14ac:dyDescent="0.25">
      <c r="A263" s="28" t="s">
        <v>321</v>
      </c>
      <c r="B263" s="197" t="s">
        <v>72</v>
      </c>
      <c r="C263" s="32"/>
      <c r="D263" s="32"/>
      <c r="E263" s="33"/>
      <c r="F263" s="33"/>
      <c r="G263" s="33"/>
      <c r="H263" s="32"/>
      <c r="I263" s="33"/>
      <c r="J263" s="33"/>
      <c r="K263" s="33"/>
      <c r="L263" s="32"/>
      <c r="M263" s="32"/>
      <c r="N263" s="33"/>
      <c r="O263" s="33"/>
      <c r="P263" s="33"/>
      <c r="Q263" s="33"/>
      <c r="R263" s="31"/>
      <c r="S263" s="34"/>
      <c r="T263" s="35"/>
      <c r="U263" s="33"/>
      <c r="V263" s="34">
        <v>0</v>
      </c>
      <c r="W263" s="34"/>
      <c r="X263" s="35"/>
      <c r="Y263" s="34"/>
      <c r="Z263" s="35">
        <v>0</v>
      </c>
      <c r="AA263" s="35">
        <v>0</v>
      </c>
      <c r="AB263" s="35">
        <f>60</f>
        <v>60</v>
      </c>
      <c r="AC263" s="27">
        <f>Z263+AA263+AB263</f>
        <v>60</v>
      </c>
      <c r="AD263" s="26">
        <v>0</v>
      </c>
      <c r="AE263" s="26">
        <v>0</v>
      </c>
      <c r="AF263" s="26">
        <f>SUM(AC263:AE263)+60</f>
        <v>120</v>
      </c>
      <c r="AG263" s="34">
        <v>0</v>
      </c>
      <c r="AH263" s="34">
        <v>0</v>
      </c>
      <c r="AI263" s="34">
        <f t="shared" si="102"/>
        <v>120</v>
      </c>
    </row>
    <row r="264" spans="1:35" ht="15" customHeight="1" x14ac:dyDescent="0.25">
      <c r="A264" s="28" t="s">
        <v>322</v>
      </c>
      <c r="B264" s="197" t="s">
        <v>72</v>
      </c>
      <c r="C264" s="32"/>
      <c r="D264" s="32"/>
      <c r="E264" s="33"/>
      <c r="F264" s="33"/>
      <c r="G264" s="33"/>
      <c r="H264" s="32"/>
      <c r="I264" s="33"/>
      <c r="J264" s="33"/>
      <c r="K264" s="33"/>
      <c r="L264" s="32"/>
      <c r="M264" s="32"/>
      <c r="N264" s="33"/>
      <c r="O264" s="33"/>
      <c r="P264" s="33"/>
      <c r="Q264" s="33"/>
      <c r="R264" s="31"/>
      <c r="S264" s="34"/>
      <c r="T264" s="35"/>
      <c r="U264" s="33"/>
      <c r="V264" s="34">
        <v>0</v>
      </c>
      <c r="W264" s="34"/>
      <c r="X264" s="35"/>
      <c r="Y264" s="34"/>
      <c r="Z264" s="35">
        <v>0</v>
      </c>
      <c r="AA264" s="35">
        <v>0</v>
      </c>
      <c r="AB264" s="35">
        <f>32.1</f>
        <v>32.1</v>
      </c>
      <c r="AC264" s="27">
        <f>Z264+AA264+AB264</f>
        <v>32.1</v>
      </c>
      <c r="AD264" s="26">
        <v>0</v>
      </c>
      <c r="AE264" s="26">
        <v>0</v>
      </c>
      <c r="AF264" s="26">
        <f>SUM(AC264:AE264)+29.49</f>
        <v>61.59</v>
      </c>
      <c r="AG264" s="34">
        <v>0</v>
      </c>
      <c r="AH264" s="34">
        <v>0</v>
      </c>
      <c r="AI264" s="34">
        <f t="shared" si="102"/>
        <v>61.59</v>
      </c>
    </row>
    <row r="265" spans="1:35" ht="37.15" customHeight="1" x14ac:dyDescent="0.25">
      <c r="A265" s="28" t="s">
        <v>323</v>
      </c>
      <c r="B265" s="197" t="s">
        <v>88</v>
      </c>
      <c r="C265" s="32">
        <v>190</v>
      </c>
      <c r="D265" s="32">
        <v>190</v>
      </c>
      <c r="E265" s="33">
        <v>0</v>
      </c>
      <c r="F265" s="33">
        <v>0</v>
      </c>
      <c r="G265" s="33">
        <f t="shared" si="98"/>
        <v>190</v>
      </c>
      <c r="H265" s="32">
        <v>0</v>
      </c>
      <c r="I265" s="33">
        <v>0</v>
      </c>
      <c r="J265" s="33">
        <v>0</v>
      </c>
      <c r="K265" s="33">
        <f t="shared" si="99"/>
        <v>190</v>
      </c>
      <c r="L265" s="32">
        <v>0</v>
      </c>
      <c r="M265" s="32">
        <v>0</v>
      </c>
      <c r="N265" s="33">
        <f t="shared" si="100"/>
        <v>190</v>
      </c>
      <c r="O265" s="33">
        <v>190</v>
      </c>
      <c r="P265" s="33">
        <v>0</v>
      </c>
      <c r="Q265" s="33">
        <v>0</v>
      </c>
      <c r="R265" s="31">
        <f t="shared" si="97"/>
        <v>190</v>
      </c>
      <c r="S265" s="32">
        <v>0</v>
      </c>
      <c r="T265" s="33">
        <v>0</v>
      </c>
      <c r="U265" s="33">
        <f t="shared" si="103"/>
        <v>190</v>
      </c>
      <c r="V265" s="34">
        <v>190</v>
      </c>
      <c r="W265" s="34">
        <v>0</v>
      </c>
      <c r="X265" s="35">
        <v>0</v>
      </c>
      <c r="Y265" s="34">
        <v>0</v>
      </c>
      <c r="Z265" s="35">
        <f t="shared" si="85"/>
        <v>190</v>
      </c>
      <c r="AA265" s="35">
        <v>0</v>
      </c>
      <c r="AB265" s="35">
        <v>0</v>
      </c>
      <c r="AC265" s="27">
        <f t="shared" si="92"/>
        <v>190</v>
      </c>
      <c r="AD265" s="26">
        <v>0</v>
      </c>
      <c r="AE265" s="26">
        <v>0</v>
      </c>
      <c r="AF265" s="26">
        <f t="shared" si="101"/>
        <v>190</v>
      </c>
      <c r="AG265" s="34">
        <v>0</v>
      </c>
      <c r="AH265" s="34">
        <v>0</v>
      </c>
      <c r="AI265" s="34">
        <f t="shared" si="102"/>
        <v>190</v>
      </c>
    </row>
    <row r="266" spans="1:35" ht="16.5" customHeight="1" x14ac:dyDescent="0.25">
      <c r="A266" s="163" t="s">
        <v>324</v>
      </c>
      <c r="B266" s="197" t="s">
        <v>325</v>
      </c>
      <c r="C266" s="32">
        <v>500</v>
      </c>
      <c r="D266" s="32">
        <v>500</v>
      </c>
      <c r="E266" s="33">
        <v>0</v>
      </c>
      <c r="F266" s="33">
        <v>0</v>
      </c>
      <c r="G266" s="33">
        <f t="shared" si="98"/>
        <v>500</v>
      </c>
      <c r="H266" s="32">
        <v>0</v>
      </c>
      <c r="I266" s="33">
        <v>0</v>
      </c>
      <c r="J266" s="33">
        <v>0</v>
      </c>
      <c r="K266" s="33">
        <f t="shared" si="99"/>
        <v>500</v>
      </c>
      <c r="L266" s="32">
        <v>0</v>
      </c>
      <c r="M266" s="32">
        <v>0</v>
      </c>
      <c r="N266" s="33">
        <f t="shared" si="100"/>
        <v>500</v>
      </c>
      <c r="O266" s="33">
        <v>500</v>
      </c>
      <c r="P266" s="33">
        <v>0</v>
      </c>
      <c r="Q266" s="33">
        <v>0</v>
      </c>
      <c r="R266" s="31">
        <f t="shared" si="97"/>
        <v>500</v>
      </c>
      <c r="S266" s="32">
        <v>0</v>
      </c>
      <c r="T266" s="33">
        <v>0</v>
      </c>
      <c r="U266" s="33">
        <f t="shared" si="103"/>
        <v>500</v>
      </c>
      <c r="V266" s="34">
        <v>500</v>
      </c>
      <c r="W266" s="34">
        <f t="shared" ref="W266:W271" si="104">V266-U266</f>
        <v>0</v>
      </c>
      <c r="X266" s="35">
        <v>0</v>
      </c>
      <c r="Y266" s="34">
        <v>0</v>
      </c>
      <c r="Z266" s="35">
        <f t="shared" si="85"/>
        <v>500</v>
      </c>
      <c r="AA266" s="35">
        <v>0</v>
      </c>
      <c r="AB266" s="35">
        <v>0</v>
      </c>
      <c r="AC266" s="27">
        <f t="shared" si="92"/>
        <v>500</v>
      </c>
      <c r="AD266" s="26">
        <v>0</v>
      </c>
      <c r="AE266" s="26">
        <v>0</v>
      </c>
      <c r="AF266" s="26">
        <f t="shared" si="101"/>
        <v>500</v>
      </c>
      <c r="AG266" s="34">
        <v>0</v>
      </c>
      <c r="AH266" s="34">
        <v>0</v>
      </c>
      <c r="AI266" s="34">
        <f t="shared" si="102"/>
        <v>500</v>
      </c>
    </row>
    <row r="267" spans="1:35" ht="25.5" customHeight="1" x14ac:dyDescent="0.25">
      <c r="A267" s="28" t="s">
        <v>326</v>
      </c>
      <c r="B267" s="141"/>
      <c r="C267" s="32">
        <v>5</v>
      </c>
      <c r="D267" s="32">
        <v>5</v>
      </c>
      <c r="E267" s="33">
        <v>0</v>
      </c>
      <c r="F267" s="33">
        <v>0</v>
      </c>
      <c r="G267" s="33">
        <f t="shared" si="98"/>
        <v>5</v>
      </c>
      <c r="H267" s="32">
        <v>0</v>
      </c>
      <c r="I267" s="33">
        <v>0</v>
      </c>
      <c r="J267" s="33">
        <v>0</v>
      </c>
      <c r="K267" s="33">
        <f t="shared" si="99"/>
        <v>5</v>
      </c>
      <c r="L267" s="32">
        <v>0</v>
      </c>
      <c r="M267" s="32">
        <v>0</v>
      </c>
      <c r="N267" s="33">
        <f t="shared" si="100"/>
        <v>5</v>
      </c>
      <c r="O267" s="33">
        <v>5</v>
      </c>
      <c r="P267" s="33">
        <v>0</v>
      </c>
      <c r="Q267" s="33">
        <v>0</v>
      </c>
      <c r="R267" s="31">
        <f t="shared" si="97"/>
        <v>5</v>
      </c>
      <c r="S267" s="32">
        <v>0</v>
      </c>
      <c r="T267" s="33">
        <v>0</v>
      </c>
      <c r="U267" s="33">
        <f t="shared" si="103"/>
        <v>5</v>
      </c>
      <c r="V267" s="34">
        <v>5</v>
      </c>
      <c r="W267" s="34">
        <f t="shared" si="104"/>
        <v>0</v>
      </c>
      <c r="X267" s="35">
        <v>0</v>
      </c>
      <c r="Y267" s="34">
        <v>0</v>
      </c>
      <c r="Z267" s="35">
        <f t="shared" si="85"/>
        <v>5</v>
      </c>
      <c r="AA267" s="35">
        <v>0</v>
      </c>
      <c r="AB267" s="35">
        <v>0</v>
      </c>
      <c r="AC267" s="27">
        <f t="shared" si="92"/>
        <v>5</v>
      </c>
      <c r="AD267" s="26">
        <v>0</v>
      </c>
      <c r="AE267" s="26">
        <v>0</v>
      </c>
      <c r="AF267" s="26">
        <f t="shared" si="101"/>
        <v>5</v>
      </c>
      <c r="AG267" s="34">
        <v>0</v>
      </c>
      <c r="AH267" s="34">
        <v>0</v>
      </c>
      <c r="AI267" s="34">
        <f t="shared" si="102"/>
        <v>5</v>
      </c>
    </row>
    <row r="268" spans="1:35" x14ac:dyDescent="0.25">
      <c r="A268" s="163" t="s">
        <v>327</v>
      </c>
      <c r="B268" s="141"/>
      <c r="C268" s="32">
        <v>15</v>
      </c>
      <c r="D268" s="32">
        <v>15</v>
      </c>
      <c r="E268" s="33">
        <v>0</v>
      </c>
      <c r="F268" s="33">
        <v>0</v>
      </c>
      <c r="G268" s="33">
        <f t="shared" si="98"/>
        <v>15</v>
      </c>
      <c r="H268" s="32">
        <v>0</v>
      </c>
      <c r="I268" s="33">
        <v>0</v>
      </c>
      <c r="J268" s="33">
        <v>0</v>
      </c>
      <c r="K268" s="33">
        <f t="shared" si="99"/>
        <v>15</v>
      </c>
      <c r="L268" s="32">
        <v>0</v>
      </c>
      <c r="M268" s="32">
        <v>0</v>
      </c>
      <c r="N268" s="33">
        <f t="shared" si="100"/>
        <v>15</v>
      </c>
      <c r="O268" s="33">
        <v>15</v>
      </c>
      <c r="P268" s="33">
        <v>0</v>
      </c>
      <c r="Q268" s="33">
        <v>0</v>
      </c>
      <c r="R268" s="31">
        <f t="shared" si="97"/>
        <v>15</v>
      </c>
      <c r="S268" s="34">
        <v>0</v>
      </c>
      <c r="T268" s="35">
        <v>0</v>
      </c>
      <c r="U268" s="33">
        <f t="shared" si="103"/>
        <v>15</v>
      </c>
      <c r="V268" s="34">
        <v>15</v>
      </c>
      <c r="W268" s="34">
        <f>-15</f>
        <v>-15</v>
      </c>
      <c r="X268" s="35">
        <v>0</v>
      </c>
      <c r="Y268" s="34">
        <v>0</v>
      </c>
      <c r="Z268" s="35">
        <f t="shared" si="85"/>
        <v>0</v>
      </c>
      <c r="AA268" s="35">
        <v>0</v>
      </c>
      <c r="AB268" s="35">
        <v>0</v>
      </c>
      <c r="AC268" s="27">
        <f t="shared" si="92"/>
        <v>0</v>
      </c>
      <c r="AD268" s="26">
        <v>0</v>
      </c>
      <c r="AE268" s="26">
        <v>0</v>
      </c>
      <c r="AF268" s="26">
        <f t="shared" si="101"/>
        <v>0</v>
      </c>
      <c r="AG268" s="34">
        <v>0</v>
      </c>
      <c r="AH268" s="34">
        <v>0</v>
      </c>
      <c r="AI268" s="34">
        <f t="shared" si="102"/>
        <v>0</v>
      </c>
    </row>
    <row r="269" spans="1:35" ht="28.5" customHeight="1" x14ac:dyDescent="0.25">
      <c r="A269" s="28" t="s">
        <v>328</v>
      </c>
      <c r="B269" s="141"/>
      <c r="C269" s="32">
        <v>70</v>
      </c>
      <c r="D269" s="32">
        <v>70</v>
      </c>
      <c r="E269" s="33">
        <v>0</v>
      </c>
      <c r="F269" s="33">
        <v>0</v>
      </c>
      <c r="G269" s="33">
        <f t="shared" si="98"/>
        <v>70</v>
      </c>
      <c r="H269" s="32">
        <v>0</v>
      </c>
      <c r="I269" s="33">
        <v>0</v>
      </c>
      <c r="J269" s="33">
        <v>0</v>
      </c>
      <c r="K269" s="33">
        <f t="shared" si="99"/>
        <v>70</v>
      </c>
      <c r="L269" s="32">
        <v>0</v>
      </c>
      <c r="M269" s="32">
        <v>0</v>
      </c>
      <c r="N269" s="33">
        <f t="shared" si="100"/>
        <v>70</v>
      </c>
      <c r="O269" s="33">
        <v>70</v>
      </c>
      <c r="P269" s="33">
        <v>0</v>
      </c>
      <c r="Q269" s="33">
        <v>0</v>
      </c>
      <c r="R269" s="31">
        <f t="shared" si="97"/>
        <v>70</v>
      </c>
      <c r="S269" s="32">
        <v>0</v>
      </c>
      <c r="T269" s="33">
        <v>0</v>
      </c>
      <c r="U269" s="33">
        <f t="shared" si="103"/>
        <v>70</v>
      </c>
      <c r="V269" s="34">
        <v>70</v>
      </c>
      <c r="W269" s="34">
        <f t="shared" si="104"/>
        <v>0</v>
      </c>
      <c r="X269" s="35">
        <v>0</v>
      </c>
      <c r="Y269" s="34">
        <v>0</v>
      </c>
      <c r="Z269" s="35">
        <f t="shared" si="85"/>
        <v>70</v>
      </c>
      <c r="AA269" s="35">
        <v>0</v>
      </c>
      <c r="AB269" s="35">
        <v>0</v>
      </c>
      <c r="AC269" s="27">
        <f t="shared" si="92"/>
        <v>70</v>
      </c>
      <c r="AD269" s="26">
        <v>0</v>
      </c>
      <c r="AE269" s="26">
        <v>0</v>
      </c>
      <c r="AF269" s="26">
        <f t="shared" si="101"/>
        <v>70</v>
      </c>
      <c r="AG269" s="34">
        <v>0</v>
      </c>
      <c r="AH269" s="34">
        <v>0</v>
      </c>
      <c r="AI269" s="34">
        <f t="shared" si="102"/>
        <v>70</v>
      </c>
    </row>
    <row r="270" spans="1:35" x14ac:dyDescent="0.25">
      <c r="A270" s="163" t="s">
        <v>329</v>
      </c>
      <c r="B270" s="141"/>
      <c r="C270" s="32">
        <v>300</v>
      </c>
      <c r="D270" s="32">
        <v>300</v>
      </c>
      <c r="E270" s="33">
        <v>0</v>
      </c>
      <c r="F270" s="33">
        <v>0</v>
      </c>
      <c r="G270" s="33">
        <f t="shared" si="98"/>
        <v>300</v>
      </c>
      <c r="H270" s="32">
        <v>0</v>
      </c>
      <c r="I270" s="33">
        <v>0</v>
      </c>
      <c r="J270" s="33">
        <v>0</v>
      </c>
      <c r="K270" s="33">
        <f t="shared" si="99"/>
        <v>300</v>
      </c>
      <c r="L270" s="32">
        <v>0</v>
      </c>
      <c r="M270" s="32">
        <v>0</v>
      </c>
      <c r="N270" s="33">
        <f t="shared" si="100"/>
        <v>300</v>
      </c>
      <c r="O270" s="33">
        <v>300</v>
      </c>
      <c r="P270" s="33">
        <v>0</v>
      </c>
      <c r="Q270" s="33">
        <v>0</v>
      </c>
      <c r="R270" s="31">
        <f t="shared" si="97"/>
        <v>300</v>
      </c>
      <c r="S270" s="34">
        <v>0</v>
      </c>
      <c r="T270" s="35">
        <v>0</v>
      </c>
      <c r="U270" s="33">
        <f t="shared" si="103"/>
        <v>300</v>
      </c>
      <c r="V270" s="34">
        <v>300</v>
      </c>
      <c r="W270" s="34">
        <f t="shared" si="104"/>
        <v>0</v>
      </c>
      <c r="X270" s="35">
        <v>0</v>
      </c>
      <c r="Y270" s="34">
        <v>0</v>
      </c>
      <c r="Z270" s="35">
        <f t="shared" si="85"/>
        <v>300</v>
      </c>
      <c r="AA270" s="35">
        <v>0</v>
      </c>
      <c r="AB270" s="35">
        <v>0</v>
      </c>
      <c r="AC270" s="27">
        <f t="shared" si="92"/>
        <v>300</v>
      </c>
      <c r="AD270" s="26">
        <v>0</v>
      </c>
      <c r="AE270" s="26">
        <v>0</v>
      </c>
      <c r="AF270" s="26">
        <f t="shared" si="101"/>
        <v>300</v>
      </c>
      <c r="AG270" s="34">
        <v>0</v>
      </c>
      <c r="AH270" s="34">
        <v>0</v>
      </c>
      <c r="AI270" s="34">
        <f t="shared" si="102"/>
        <v>300</v>
      </c>
    </row>
    <row r="271" spans="1:35" x14ac:dyDescent="0.25">
      <c r="A271" s="163" t="s">
        <v>330</v>
      </c>
      <c r="B271" s="141"/>
      <c r="C271" s="32">
        <v>2</v>
      </c>
      <c r="D271" s="32">
        <v>2</v>
      </c>
      <c r="E271" s="33">
        <v>0</v>
      </c>
      <c r="F271" s="33">
        <v>0</v>
      </c>
      <c r="G271" s="33">
        <f t="shared" si="98"/>
        <v>2</v>
      </c>
      <c r="H271" s="32">
        <v>0</v>
      </c>
      <c r="I271" s="33">
        <v>0</v>
      </c>
      <c r="J271" s="33">
        <v>0</v>
      </c>
      <c r="K271" s="33">
        <f t="shared" si="99"/>
        <v>2</v>
      </c>
      <c r="L271" s="32">
        <v>0</v>
      </c>
      <c r="M271" s="32">
        <v>0</v>
      </c>
      <c r="N271" s="33">
        <f t="shared" si="100"/>
        <v>2</v>
      </c>
      <c r="O271" s="32">
        <v>2</v>
      </c>
      <c r="P271" s="25">
        <v>0</v>
      </c>
      <c r="Q271" s="25">
        <v>0</v>
      </c>
      <c r="R271" s="31">
        <f t="shared" si="97"/>
        <v>2</v>
      </c>
      <c r="S271" s="34">
        <v>0</v>
      </c>
      <c r="T271" s="35">
        <v>0</v>
      </c>
      <c r="U271" s="33">
        <f t="shared" si="103"/>
        <v>2</v>
      </c>
      <c r="V271" s="34">
        <v>2</v>
      </c>
      <c r="W271" s="34">
        <f t="shared" si="104"/>
        <v>0</v>
      </c>
      <c r="X271" s="35">
        <v>0</v>
      </c>
      <c r="Y271" s="34">
        <v>0</v>
      </c>
      <c r="Z271" s="35">
        <f t="shared" si="85"/>
        <v>2</v>
      </c>
      <c r="AA271" s="35">
        <v>0</v>
      </c>
      <c r="AB271" s="35">
        <v>0</v>
      </c>
      <c r="AC271" s="27">
        <f t="shared" si="92"/>
        <v>2</v>
      </c>
      <c r="AD271" s="26">
        <v>0</v>
      </c>
      <c r="AE271" s="26">
        <v>0</v>
      </c>
      <c r="AF271" s="26">
        <f t="shared" si="101"/>
        <v>2</v>
      </c>
      <c r="AG271" s="34">
        <v>0</v>
      </c>
      <c r="AH271" s="34">
        <v>0</v>
      </c>
      <c r="AI271" s="34">
        <f t="shared" si="102"/>
        <v>2</v>
      </c>
    </row>
    <row r="272" spans="1:35" x14ac:dyDescent="0.25">
      <c r="A272" s="163" t="s">
        <v>331</v>
      </c>
      <c r="B272" s="141"/>
      <c r="C272" s="32">
        <v>120</v>
      </c>
      <c r="D272" s="32">
        <v>120</v>
      </c>
      <c r="E272" s="33">
        <v>0</v>
      </c>
      <c r="F272" s="33">
        <v>0</v>
      </c>
      <c r="G272" s="33">
        <f t="shared" si="98"/>
        <v>120</v>
      </c>
      <c r="H272" s="32">
        <v>0</v>
      </c>
      <c r="I272" s="33">
        <v>0</v>
      </c>
      <c r="J272" s="33">
        <v>0</v>
      </c>
      <c r="K272" s="33">
        <f t="shared" si="99"/>
        <v>120</v>
      </c>
      <c r="L272" s="32">
        <v>0</v>
      </c>
      <c r="M272" s="32">
        <v>0</v>
      </c>
      <c r="N272" s="33">
        <f t="shared" si="100"/>
        <v>120</v>
      </c>
      <c r="O272" s="33">
        <v>120</v>
      </c>
      <c r="P272" s="33">
        <v>0</v>
      </c>
      <c r="Q272" s="33">
        <v>0</v>
      </c>
      <c r="R272" s="31">
        <f t="shared" si="97"/>
        <v>120</v>
      </c>
      <c r="S272" s="34">
        <v>60</v>
      </c>
      <c r="T272" s="35">
        <v>0</v>
      </c>
      <c r="U272" s="33">
        <f>SUM(R272:T272)</f>
        <v>180</v>
      </c>
      <c r="V272" s="34">
        <v>188</v>
      </c>
      <c r="W272" s="34">
        <v>0</v>
      </c>
      <c r="X272" s="35">
        <v>0</v>
      </c>
      <c r="Y272" s="34">
        <v>0</v>
      </c>
      <c r="Z272" s="35">
        <f t="shared" si="85"/>
        <v>188</v>
      </c>
      <c r="AA272" s="35">
        <v>0</v>
      </c>
      <c r="AB272" s="35">
        <v>0</v>
      </c>
      <c r="AC272" s="27">
        <f t="shared" si="92"/>
        <v>188</v>
      </c>
      <c r="AD272" s="26">
        <v>0</v>
      </c>
      <c r="AE272" s="26">
        <v>0</v>
      </c>
      <c r="AF272" s="26">
        <f t="shared" si="101"/>
        <v>188</v>
      </c>
      <c r="AG272" s="34">
        <v>0</v>
      </c>
      <c r="AH272" s="34">
        <v>0</v>
      </c>
      <c r="AI272" s="34">
        <f t="shared" si="102"/>
        <v>188</v>
      </c>
    </row>
    <row r="273" spans="1:35" ht="15.75" customHeight="1" x14ac:dyDescent="0.25">
      <c r="A273" s="164" t="s">
        <v>332</v>
      </c>
      <c r="B273" s="141"/>
      <c r="C273" s="41"/>
      <c r="D273" s="41"/>
      <c r="E273" s="42"/>
      <c r="F273" s="42"/>
      <c r="G273" s="42"/>
      <c r="H273" s="41"/>
      <c r="I273" s="42"/>
      <c r="J273" s="42"/>
      <c r="K273" s="42"/>
      <c r="L273" s="41"/>
      <c r="M273" s="41"/>
      <c r="N273" s="42"/>
      <c r="O273" s="42"/>
      <c r="P273" s="42"/>
      <c r="Q273" s="42"/>
      <c r="R273" s="31"/>
      <c r="S273" s="44"/>
      <c r="T273" s="45"/>
      <c r="U273" s="33"/>
      <c r="V273" s="34">
        <v>0</v>
      </c>
      <c r="W273" s="34">
        <f>15</f>
        <v>15</v>
      </c>
      <c r="X273" s="35">
        <v>0</v>
      </c>
      <c r="Y273" s="34">
        <v>0</v>
      </c>
      <c r="Z273" s="35">
        <f t="shared" si="85"/>
        <v>15</v>
      </c>
      <c r="AA273" s="35">
        <v>0</v>
      </c>
      <c r="AB273" s="35">
        <v>0</v>
      </c>
      <c r="AC273" s="27">
        <f t="shared" si="92"/>
        <v>15</v>
      </c>
      <c r="AD273" s="26">
        <v>0</v>
      </c>
      <c r="AE273" s="26">
        <v>0</v>
      </c>
      <c r="AF273" s="26">
        <f t="shared" si="101"/>
        <v>15</v>
      </c>
      <c r="AG273" s="34">
        <v>0</v>
      </c>
      <c r="AH273" s="34">
        <v>0</v>
      </c>
      <c r="AI273" s="34">
        <f t="shared" si="102"/>
        <v>15</v>
      </c>
    </row>
    <row r="274" spans="1:35" x14ac:dyDescent="0.25">
      <c r="A274" s="28" t="s">
        <v>333</v>
      </c>
      <c r="B274" s="141"/>
      <c r="C274" s="32"/>
      <c r="D274" s="32"/>
      <c r="E274" s="33"/>
      <c r="F274" s="33"/>
      <c r="G274" s="33"/>
      <c r="H274" s="32"/>
      <c r="I274" s="33"/>
      <c r="J274" s="33"/>
      <c r="K274" s="33"/>
      <c r="L274" s="32"/>
      <c r="M274" s="32"/>
      <c r="N274" s="33"/>
      <c r="O274" s="33">
        <v>0</v>
      </c>
      <c r="P274" s="33"/>
      <c r="Q274" s="33"/>
      <c r="R274" s="31"/>
      <c r="S274" s="32"/>
      <c r="T274" s="33"/>
      <c r="U274" s="33">
        <v>0</v>
      </c>
      <c r="V274" s="34">
        <v>550</v>
      </c>
      <c r="W274" s="34">
        <f>-300</f>
        <v>-300</v>
      </c>
      <c r="X274" s="35">
        <v>0</v>
      </c>
      <c r="Y274" s="34">
        <v>0</v>
      </c>
      <c r="Z274" s="35">
        <f t="shared" si="85"/>
        <v>250</v>
      </c>
      <c r="AA274" s="35">
        <v>0</v>
      </c>
      <c r="AB274" s="35">
        <v>0</v>
      </c>
      <c r="AC274" s="27">
        <f t="shared" si="92"/>
        <v>250</v>
      </c>
      <c r="AD274" s="26">
        <v>-250</v>
      </c>
      <c r="AE274" s="26">
        <v>0</v>
      </c>
      <c r="AF274" s="26">
        <f t="shared" si="101"/>
        <v>0</v>
      </c>
      <c r="AG274" s="34">
        <v>0</v>
      </c>
      <c r="AH274" s="34">
        <v>0</v>
      </c>
      <c r="AI274" s="34">
        <f t="shared" si="102"/>
        <v>0</v>
      </c>
    </row>
    <row r="275" spans="1:35" ht="43.5" customHeight="1" x14ac:dyDescent="0.25">
      <c r="A275" s="28" t="s">
        <v>334</v>
      </c>
      <c r="B275" s="141" t="s">
        <v>88</v>
      </c>
      <c r="C275" s="32"/>
      <c r="D275" s="32"/>
      <c r="E275" s="33"/>
      <c r="F275" s="33"/>
      <c r="G275" s="33"/>
      <c r="H275" s="32"/>
      <c r="I275" s="33"/>
      <c r="J275" s="33"/>
      <c r="K275" s="33"/>
      <c r="L275" s="32"/>
      <c r="M275" s="32"/>
      <c r="N275" s="33"/>
      <c r="O275" s="33"/>
      <c r="P275" s="33"/>
      <c r="Q275" s="33"/>
      <c r="R275" s="31"/>
      <c r="S275" s="32"/>
      <c r="T275" s="33"/>
      <c r="U275" s="33"/>
      <c r="V275" s="34">
        <v>0</v>
      </c>
      <c r="W275" s="34"/>
      <c r="X275" s="35"/>
      <c r="Y275" s="34"/>
      <c r="Z275" s="35">
        <v>0</v>
      </c>
      <c r="AA275" s="35">
        <v>0</v>
      </c>
      <c r="AB275" s="35">
        <f>200</f>
        <v>200</v>
      </c>
      <c r="AC275" s="27">
        <f>Z275+AA275+AB275</f>
        <v>200</v>
      </c>
      <c r="AD275" s="26">
        <v>0</v>
      </c>
      <c r="AE275" s="26">
        <v>0</v>
      </c>
      <c r="AF275" s="26">
        <f t="shared" si="101"/>
        <v>200</v>
      </c>
      <c r="AG275" s="34">
        <v>0</v>
      </c>
      <c r="AH275" s="34">
        <v>0</v>
      </c>
      <c r="AI275" s="34">
        <f t="shared" si="102"/>
        <v>200</v>
      </c>
    </row>
    <row r="276" spans="1:35" ht="38.450000000000003" customHeight="1" x14ac:dyDescent="0.25">
      <c r="A276" s="28" t="s">
        <v>335</v>
      </c>
      <c r="B276" s="141" t="s">
        <v>88</v>
      </c>
      <c r="C276" s="32"/>
      <c r="D276" s="32"/>
      <c r="E276" s="33"/>
      <c r="F276" s="33"/>
      <c r="G276" s="33"/>
      <c r="H276" s="32"/>
      <c r="I276" s="33"/>
      <c r="J276" s="33"/>
      <c r="K276" s="33"/>
      <c r="L276" s="32"/>
      <c r="M276" s="32"/>
      <c r="N276" s="33"/>
      <c r="O276" s="33"/>
      <c r="P276" s="33"/>
      <c r="Q276" s="33"/>
      <c r="R276" s="31"/>
      <c r="S276" s="32"/>
      <c r="T276" s="33"/>
      <c r="U276" s="33"/>
      <c r="V276" s="34">
        <v>0</v>
      </c>
      <c r="W276" s="34"/>
      <c r="X276" s="35"/>
      <c r="Y276" s="34"/>
      <c r="Z276" s="35">
        <v>0</v>
      </c>
      <c r="AA276" s="35">
        <v>0</v>
      </c>
      <c r="AB276" s="35">
        <f>460</f>
        <v>460</v>
      </c>
      <c r="AC276" s="27">
        <f>Z276+AA276+AB276</f>
        <v>460</v>
      </c>
      <c r="AD276" s="26">
        <v>0</v>
      </c>
      <c r="AE276" s="26">
        <v>0</v>
      </c>
      <c r="AF276" s="26">
        <f t="shared" si="101"/>
        <v>460</v>
      </c>
      <c r="AG276" s="34">
        <v>0</v>
      </c>
      <c r="AH276" s="34">
        <v>0</v>
      </c>
      <c r="AI276" s="34">
        <f t="shared" si="102"/>
        <v>460</v>
      </c>
    </row>
    <row r="277" spans="1:35" ht="28.5" customHeight="1" thickBot="1" x14ac:dyDescent="0.3">
      <c r="A277" s="36" t="s">
        <v>336</v>
      </c>
      <c r="B277" s="147"/>
      <c r="C277" s="41">
        <v>9440.4599999999991</v>
      </c>
      <c r="D277" s="41">
        <f>9369.56</f>
        <v>9369.56</v>
      </c>
      <c r="E277" s="42">
        <v>500</v>
      </c>
      <c r="F277" s="42">
        <v>1125.3</v>
      </c>
      <c r="G277" s="42">
        <f t="shared" si="98"/>
        <v>10994.859999999999</v>
      </c>
      <c r="H277" s="41">
        <v>0</v>
      </c>
      <c r="I277" s="42">
        <v>0</v>
      </c>
      <c r="J277" s="42">
        <v>0</v>
      </c>
      <c r="K277" s="42">
        <f t="shared" si="99"/>
        <v>10994.859999999999</v>
      </c>
      <c r="L277" s="41">
        <v>7.44</v>
      </c>
      <c r="M277" s="41">
        <v>200</v>
      </c>
      <c r="N277" s="42">
        <f t="shared" si="100"/>
        <v>11202.3</v>
      </c>
      <c r="O277" s="42">
        <v>9022.2099999999991</v>
      </c>
      <c r="P277" s="42">
        <f>108.9</f>
        <v>108.9</v>
      </c>
      <c r="Q277" s="42">
        <v>1056.68</v>
      </c>
      <c r="R277" s="39">
        <f>O277+P277+Q277</f>
        <v>10187.789999999999</v>
      </c>
      <c r="S277" s="41">
        <v>0</v>
      </c>
      <c r="T277" s="42">
        <f>0</f>
        <v>0</v>
      </c>
      <c r="U277" s="41">
        <f t="shared" si="103"/>
        <v>10187.789999999999</v>
      </c>
      <c r="V277" s="44">
        <v>8002.9</v>
      </c>
      <c r="W277" s="44">
        <f>442.03+10.17+1696.98</f>
        <v>2149.1799999999998</v>
      </c>
      <c r="X277" s="45">
        <v>0</v>
      </c>
      <c r="Y277" s="44">
        <f>-120</f>
        <v>-120</v>
      </c>
      <c r="Z277" s="45">
        <f t="shared" si="85"/>
        <v>10032.08</v>
      </c>
      <c r="AA277" s="45">
        <f>-1325</f>
        <v>-1325</v>
      </c>
      <c r="AB277" s="45">
        <f>-120</f>
        <v>-120</v>
      </c>
      <c r="AC277" s="45">
        <f t="shared" si="92"/>
        <v>8587.08</v>
      </c>
      <c r="AD277" s="44">
        <v>-1277.5</v>
      </c>
      <c r="AE277" s="47">
        <v>0</v>
      </c>
      <c r="AF277" s="47">
        <f>SUM(AC277:AE277)</f>
        <v>7309.58</v>
      </c>
      <c r="AG277" s="44">
        <f>-501.57-1204.22</f>
        <v>-1705.79</v>
      </c>
      <c r="AH277" s="44">
        <v>0</v>
      </c>
      <c r="AI277" s="34">
        <f t="shared" si="102"/>
        <v>5603.79</v>
      </c>
    </row>
    <row r="278" spans="1:35" ht="13.5" customHeight="1" thickBot="1" x14ac:dyDescent="0.3">
      <c r="A278" s="165" t="s">
        <v>337</v>
      </c>
      <c r="B278" s="155"/>
      <c r="C278" s="183">
        <f>C280+C281+C282</f>
        <v>41504.42</v>
      </c>
      <c r="D278" s="183">
        <f>D280+D281+D282</f>
        <v>43839</v>
      </c>
      <c r="E278" s="183">
        <f>E280+E281+E282</f>
        <v>0</v>
      </c>
      <c r="F278" s="183">
        <f>F280+F281+F282</f>
        <v>1077.5999999999999</v>
      </c>
      <c r="G278" s="187">
        <f>D278+E278+F278</f>
        <v>44916.6</v>
      </c>
      <c r="H278" s="183">
        <f>H280+H281+H282</f>
        <v>0</v>
      </c>
      <c r="I278" s="183">
        <f>I280+I281+I282</f>
        <v>0</v>
      </c>
      <c r="J278" s="183">
        <f>J280+J281+J282</f>
        <v>484</v>
      </c>
      <c r="K278" s="156">
        <f>G278+H278+I278+J278</f>
        <v>45400.6</v>
      </c>
      <c r="L278" s="159">
        <f>L280+L281+L282</f>
        <v>17</v>
      </c>
      <c r="M278" s="159">
        <f t="shared" ref="M278:R278" si="105">M280+M281+M282</f>
        <v>0</v>
      </c>
      <c r="N278" s="156">
        <f t="shared" si="105"/>
        <v>45417.599999999999</v>
      </c>
      <c r="O278" s="156">
        <f t="shared" si="105"/>
        <v>47286</v>
      </c>
      <c r="P278" s="156">
        <f t="shared" si="105"/>
        <v>0</v>
      </c>
      <c r="Q278" s="156">
        <f t="shared" si="105"/>
        <v>0</v>
      </c>
      <c r="R278" s="159">
        <f t="shared" si="105"/>
        <v>47286</v>
      </c>
      <c r="S278" s="128">
        <f t="shared" ref="S278:Y278" si="106">SUM(S280:S282)</f>
        <v>0</v>
      </c>
      <c r="T278" s="129">
        <f t="shared" si="106"/>
        <v>0</v>
      </c>
      <c r="U278" s="129">
        <f t="shared" si="106"/>
        <v>47286</v>
      </c>
      <c r="V278" s="128">
        <f t="shared" si="106"/>
        <v>50158.1</v>
      </c>
      <c r="W278" s="128">
        <f t="shared" si="106"/>
        <v>1291</v>
      </c>
      <c r="X278" s="129">
        <f t="shared" si="106"/>
        <v>0</v>
      </c>
      <c r="Y278" s="128">
        <f t="shared" si="106"/>
        <v>0</v>
      </c>
      <c r="Z278" s="129">
        <f t="shared" si="85"/>
        <v>51449.1</v>
      </c>
      <c r="AA278" s="129">
        <f>SUM(AA280:AA282)</f>
        <v>-2015.9</v>
      </c>
      <c r="AB278" s="129">
        <f>SUM(AB280:AB282)</f>
        <v>48</v>
      </c>
      <c r="AC278" s="129">
        <f t="shared" si="92"/>
        <v>49481.2</v>
      </c>
      <c r="AD278" s="128">
        <f>SUM(AD280:AD282)</f>
        <v>-290</v>
      </c>
      <c r="AE278" s="128">
        <f>SUM(AE280:AE282)</f>
        <v>-21.02</v>
      </c>
      <c r="AF278" s="128">
        <f>SUM(AF280:AF282)</f>
        <v>49170.18</v>
      </c>
      <c r="AG278" s="128">
        <f>SUM(AG280:AG282)</f>
        <v>0</v>
      </c>
      <c r="AH278" s="128">
        <f>SUM(AH280:AH282)</f>
        <v>0</v>
      </c>
      <c r="AI278" s="128">
        <f>SUM(AF278:AH278)</f>
        <v>49170.18</v>
      </c>
    </row>
    <row r="279" spans="1:35" x14ac:dyDescent="0.25">
      <c r="A279" s="167" t="s">
        <v>59</v>
      </c>
      <c r="B279" s="137"/>
      <c r="C279" s="24"/>
      <c r="D279" s="24"/>
      <c r="E279" s="25"/>
      <c r="F279" s="25"/>
      <c r="G279" s="25"/>
      <c r="H279" s="24"/>
      <c r="I279" s="25"/>
      <c r="J279" s="25"/>
      <c r="K279" s="131"/>
      <c r="L279" s="132"/>
      <c r="M279" s="132"/>
      <c r="N279" s="131"/>
      <c r="O279" s="131"/>
      <c r="P279" s="131"/>
      <c r="Q279" s="131"/>
      <c r="R279" s="131"/>
      <c r="S279" s="135"/>
      <c r="T279" s="136"/>
      <c r="U279" s="136"/>
      <c r="V279" s="26"/>
      <c r="W279" s="26"/>
      <c r="X279" s="27"/>
      <c r="Y279" s="26"/>
      <c r="Z279" s="27"/>
      <c r="AA279" s="27"/>
      <c r="AB279" s="27"/>
      <c r="AC279" s="27"/>
      <c r="AD279" s="26"/>
      <c r="AE279" s="26"/>
      <c r="AF279" s="26"/>
      <c r="AG279" s="26"/>
      <c r="AH279" s="26"/>
      <c r="AI279" s="26"/>
    </row>
    <row r="280" spans="1:35" ht="15" customHeight="1" x14ac:dyDescent="0.25">
      <c r="A280" s="163" t="s">
        <v>338</v>
      </c>
      <c r="B280" s="141"/>
      <c r="C280" s="32">
        <v>550</v>
      </c>
      <c r="D280" s="32">
        <v>0</v>
      </c>
      <c r="E280" s="33">
        <v>0</v>
      </c>
      <c r="F280" s="33">
        <v>0</v>
      </c>
      <c r="G280" s="33">
        <f>D280+E280+F280</f>
        <v>0</v>
      </c>
      <c r="H280" s="32">
        <v>0</v>
      </c>
      <c r="I280" s="33">
        <v>0</v>
      </c>
      <c r="J280" s="33">
        <v>484</v>
      </c>
      <c r="K280" s="33">
        <f>G280+H280+I280+J280</f>
        <v>484</v>
      </c>
      <c r="L280" s="32">
        <v>0</v>
      </c>
      <c r="M280" s="32">
        <v>0</v>
      </c>
      <c r="N280" s="33">
        <f>K280+L280+M280</f>
        <v>484</v>
      </c>
      <c r="O280" s="33">
        <v>484</v>
      </c>
      <c r="P280" s="33">
        <v>0</v>
      </c>
      <c r="Q280" s="33">
        <v>0</v>
      </c>
      <c r="R280" s="33">
        <f>O280+P280</f>
        <v>484</v>
      </c>
      <c r="S280" s="34">
        <v>0</v>
      </c>
      <c r="T280" s="35">
        <v>0</v>
      </c>
      <c r="U280" s="35">
        <f>SUM(R280:T280)</f>
        <v>484</v>
      </c>
      <c r="V280" s="34">
        <v>484</v>
      </c>
      <c r="W280" s="34">
        <f>V280-U280</f>
        <v>0</v>
      </c>
      <c r="X280" s="35">
        <v>0</v>
      </c>
      <c r="Y280" s="34">
        <v>0</v>
      </c>
      <c r="Z280" s="35">
        <f t="shared" si="85"/>
        <v>484</v>
      </c>
      <c r="AA280" s="35">
        <v>0</v>
      </c>
      <c r="AB280" s="35">
        <f>48</f>
        <v>48</v>
      </c>
      <c r="AC280" s="27">
        <f t="shared" si="92"/>
        <v>532</v>
      </c>
      <c r="AD280" s="26">
        <v>0</v>
      </c>
      <c r="AE280" s="26">
        <f>-21.02</f>
        <v>-21.02</v>
      </c>
      <c r="AF280" s="26">
        <f>SUM(AC280:AE280)</f>
        <v>510.98</v>
      </c>
      <c r="AG280" s="34">
        <v>0</v>
      </c>
      <c r="AH280" s="34">
        <v>0</v>
      </c>
      <c r="AI280" s="34">
        <f>SUM(AF280:AH280)</f>
        <v>510.98</v>
      </c>
    </row>
    <row r="281" spans="1:35" ht="15" customHeight="1" x14ac:dyDescent="0.25">
      <c r="A281" s="163" t="s">
        <v>83</v>
      </c>
      <c r="B281" s="141"/>
      <c r="C281" s="32">
        <v>220</v>
      </c>
      <c r="D281" s="32">
        <v>200</v>
      </c>
      <c r="E281" s="33">
        <v>0</v>
      </c>
      <c r="F281" s="33">
        <v>0</v>
      </c>
      <c r="G281" s="33">
        <f>D281+E281+F281</f>
        <v>200</v>
      </c>
      <c r="H281" s="32">
        <v>0</v>
      </c>
      <c r="I281" s="33">
        <v>0</v>
      </c>
      <c r="J281" s="33">
        <v>0</v>
      </c>
      <c r="K281" s="33">
        <f>G281+H281+I281+J281</f>
        <v>200</v>
      </c>
      <c r="L281" s="32">
        <v>17</v>
      </c>
      <c r="M281" s="32">
        <v>0</v>
      </c>
      <c r="N281" s="33">
        <f>K281+L281+M281</f>
        <v>217</v>
      </c>
      <c r="O281" s="33">
        <v>300</v>
      </c>
      <c r="P281" s="33">
        <v>0</v>
      </c>
      <c r="Q281" s="33">
        <v>0</v>
      </c>
      <c r="R281" s="33">
        <f>O281+P281</f>
        <v>300</v>
      </c>
      <c r="S281" s="34">
        <v>0</v>
      </c>
      <c r="T281" s="35">
        <v>0</v>
      </c>
      <c r="U281" s="35">
        <f>SUM(R281:T281)</f>
        <v>300</v>
      </c>
      <c r="V281" s="34">
        <v>300</v>
      </c>
      <c r="W281" s="34">
        <f>20</f>
        <v>20</v>
      </c>
      <c r="X281" s="35">
        <v>0</v>
      </c>
      <c r="Y281" s="34">
        <v>0</v>
      </c>
      <c r="Z281" s="35">
        <f t="shared" si="85"/>
        <v>320</v>
      </c>
      <c r="AA281" s="35">
        <v>0</v>
      </c>
      <c r="AB281" s="35">
        <v>0</v>
      </c>
      <c r="AC281" s="27">
        <f t="shared" si="92"/>
        <v>320</v>
      </c>
      <c r="AD281" s="26">
        <v>-50</v>
      </c>
      <c r="AE281" s="26">
        <v>0</v>
      </c>
      <c r="AF281" s="26">
        <f t="shared" ref="AF281" si="107">SUM(AC281:AE281)</f>
        <v>270</v>
      </c>
      <c r="AG281" s="34">
        <v>0</v>
      </c>
      <c r="AH281" s="34">
        <v>0</v>
      </c>
      <c r="AI281" s="34">
        <f t="shared" ref="AI281:AI282" si="108">SUM(AF281:AH281)</f>
        <v>270</v>
      </c>
    </row>
    <row r="282" spans="1:35" ht="13.5" customHeight="1" thickBot="1" x14ac:dyDescent="0.3">
      <c r="A282" s="164" t="s">
        <v>339</v>
      </c>
      <c r="B282" s="147"/>
      <c r="C282" s="41">
        <v>40734.42</v>
      </c>
      <c r="D282" s="41">
        <v>43639</v>
      </c>
      <c r="E282" s="42">
        <v>0</v>
      </c>
      <c r="F282" s="42">
        <v>1077.5999999999999</v>
      </c>
      <c r="G282" s="42">
        <f>D282+E282+F282</f>
        <v>44716.6</v>
      </c>
      <c r="H282" s="41">
        <v>0</v>
      </c>
      <c r="I282" s="42">
        <v>0</v>
      </c>
      <c r="J282" s="42">
        <v>0</v>
      </c>
      <c r="K282" s="42">
        <f>G282+H282+I282+J282</f>
        <v>44716.6</v>
      </c>
      <c r="L282" s="41">
        <v>0</v>
      </c>
      <c r="M282" s="41">
        <v>0</v>
      </c>
      <c r="N282" s="42">
        <f>K282+L282+M282</f>
        <v>44716.6</v>
      </c>
      <c r="O282" s="42">
        <v>46502</v>
      </c>
      <c r="P282" s="42">
        <v>0</v>
      </c>
      <c r="Q282" s="41">
        <v>0</v>
      </c>
      <c r="R282" s="42">
        <f>O282+P282</f>
        <v>46502</v>
      </c>
      <c r="S282" s="44">
        <v>0</v>
      </c>
      <c r="T282" s="45">
        <v>0</v>
      </c>
      <c r="U282" s="45">
        <f>SUM(R282:T282)</f>
        <v>46502</v>
      </c>
      <c r="V282" s="44">
        <v>49374.1</v>
      </c>
      <c r="W282" s="44">
        <f>1271</f>
        <v>1271</v>
      </c>
      <c r="X282" s="44">
        <v>0</v>
      </c>
      <c r="Y282" s="44">
        <v>0</v>
      </c>
      <c r="Z282" s="45">
        <f t="shared" si="85"/>
        <v>50645.1</v>
      </c>
      <c r="AA282" s="45">
        <f>-2015.9</f>
        <v>-2015.9</v>
      </c>
      <c r="AB282" s="45">
        <v>0</v>
      </c>
      <c r="AC282" s="45">
        <f t="shared" si="92"/>
        <v>48629.2</v>
      </c>
      <c r="AD282" s="44">
        <v>-240</v>
      </c>
      <c r="AE282" s="44">
        <v>0</v>
      </c>
      <c r="AF282" s="44">
        <f>SUM(AC282:AE282)</f>
        <v>48389.2</v>
      </c>
      <c r="AG282" s="44">
        <v>0</v>
      </c>
      <c r="AH282" s="44">
        <v>0</v>
      </c>
      <c r="AI282" s="34">
        <f t="shared" si="108"/>
        <v>48389.2</v>
      </c>
    </row>
    <row r="283" spans="1:35" ht="14.25" customHeight="1" thickBot="1" x14ac:dyDescent="0.3">
      <c r="A283" s="165" t="s">
        <v>340</v>
      </c>
      <c r="B283" s="155"/>
      <c r="C283" s="183">
        <f>C285+C287</f>
        <v>8655</v>
      </c>
      <c r="D283" s="183">
        <f>D285+D287</f>
        <v>9628</v>
      </c>
      <c r="E283" s="183">
        <f t="shared" ref="E283:J283" si="109">E285+E287</f>
        <v>-163</v>
      </c>
      <c r="F283" s="183">
        <f t="shared" si="109"/>
        <v>531</v>
      </c>
      <c r="G283" s="183">
        <f t="shared" si="109"/>
        <v>9996</v>
      </c>
      <c r="H283" s="183">
        <f t="shared" si="109"/>
        <v>1400</v>
      </c>
      <c r="I283" s="183">
        <f t="shared" si="109"/>
        <v>0</v>
      </c>
      <c r="J283" s="183">
        <f t="shared" si="109"/>
        <v>0</v>
      </c>
      <c r="K283" s="156">
        <f>G283+H283+I283+J283</f>
        <v>11396</v>
      </c>
      <c r="L283" s="159">
        <f t="shared" ref="L283:R283" si="110">L285+L287</f>
        <v>296</v>
      </c>
      <c r="M283" s="159">
        <f t="shared" si="110"/>
        <v>0</v>
      </c>
      <c r="N283" s="156">
        <f t="shared" si="110"/>
        <v>11692</v>
      </c>
      <c r="O283" s="156">
        <f t="shared" si="110"/>
        <v>10621</v>
      </c>
      <c r="P283" s="156">
        <f t="shared" si="110"/>
        <v>-4</v>
      </c>
      <c r="Q283" s="156">
        <f t="shared" si="110"/>
        <v>329</v>
      </c>
      <c r="R283" s="156">
        <f t="shared" si="110"/>
        <v>9736</v>
      </c>
      <c r="S283" s="128">
        <f>SUM(S285:S287)</f>
        <v>350</v>
      </c>
      <c r="T283" s="129">
        <f>SUM(T284:T287)</f>
        <v>1031</v>
      </c>
      <c r="U283" s="129">
        <f>SUM(U285:U287)</f>
        <v>11117</v>
      </c>
      <c r="V283" s="128">
        <f>SUM(V285:V287)</f>
        <v>15254</v>
      </c>
      <c r="W283" s="128">
        <f>SUM(W285:W287)</f>
        <v>1169</v>
      </c>
      <c r="X283" s="129">
        <f>SUM(X285:X287)</f>
        <v>0</v>
      </c>
      <c r="Y283" s="128">
        <f>SUM(Y285:Y287)</f>
        <v>-436</v>
      </c>
      <c r="Z283" s="129">
        <f t="shared" si="85"/>
        <v>15987</v>
      </c>
      <c r="AA283" s="129">
        <f>SUM(AA286:AA287)</f>
        <v>0</v>
      </c>
      <c r="AB283" s="129">
        <f>SUM(AB285:AB287)</f>
        <v>0</v>
      </c>
      <c r="AC283" s="129">
        <f t="shared" si="92"/>
        <v>15987</v>
      </c>
      <c r="AD283" s="128">
        <f>SUM(AD285:AD287)</f>
        <v>-500</v>
      </c>
      <c r="AE283" s="128">
        <f>SUM(AE285:AE287)</f>
        <v>-60</v>
      </c>
      <c r="AF283" s="128">
        <f>SUM(AF285:AF287)</f>
        <v>15427</v>
      </c>
      <c r="AG283" s="128">
        <f>SUM(AG285:AG287)</f>
        <v>90</v>
      </c>
      <c r="AH283" s="128">
        <f>SUM(AH285:AH287)</f>
        <v>0</v>
      </c>
      <c r="AI283" s="128">
        <f>SUM(AF283:AH283)</f>
        <v>15517</v>
      </c>
    </row>
    <row r="284" spans="1:35" ht="12.75" customHeight="1" x14ac:dyDescent="0.25">
      <c r="A284" s="167" t="s">
        <v>59</v>
      </c>
      <c r="B284" s="137"/>
      <c r="C284" s="24"/>
      <c r="D284" s="24"/>
      <c r="E284" s="25"/>
      <c r="F284" s="25"/>
      <c r="G284" s="25"/>
      <c r="H284" s="24"/>
      <c r="I284" s="25"/>
      <c r="J284" s="25"/>
      <c r="K284" s="131"/>
      <c r="L284" s="132"/>
      <c r="M284" s="132"/>
      <c r="N284" s="131"/>
      <c r="O284" s="131"/>
      <c r="P284" s="131"/>
      <c r="Q284" s="131"/>
      <c r="R284" s="131"/>
      <c r="S284" s="26"/>
      <c r="T284" s="27"/>
      <c r="U284" s="27"/>
      <c r="V284" s="26"/>
      <c r="W284" s="26"/>
      <c r="X284" s="27"/>
      <c r="Y284" s="26"/>
      <c r="Z284" s="27"/>
      <c r="AA284" s="27"/>
      <c r="AB284" s="27"/>
      <c r="AC284" s="27"/>
      <c r="AD284" s="26"/>
      <c r="AE284" s="26"/>
      <c r="AF284" s="26"/>
      <c r="AG284" s="26"/>
      <c r="AH284" s="26"/>
      <c r="AI284" s="26"/>
    </row>
    <row r="285" spans="1:35" ht="26.25" customHeight="1" x14ac:dyDescent="0.25">
      <c r="A285" s="28" t="s">
        <v>341</v>
      </c>
      <c r="B285" s="141"/>
      <c r="C285" s="32">
        <v>0</v>
      </c>
      <c r="D285" s="32">
        <v>0</v>
      </c>
      <c r="E285" s="33">
        <v>0</v>
      </c>
      <c r="F285" s="33">
        <v>0</v>
      </c>
      <c r="G285" s="33">
        <v>0</v>
      </c>
      <c r="H285" s="32">
        <v>0</v>
      </c>
      <c r="I285" s="33">
        <v>0</v>
      </c>
      <c r="J285" s="33">
        <v>0</v>
      </c>
      <c r="K285" s="33">
        <f>G285+H285+I285+J285</f>
        <v>0</v>
      </c>
      <c r="L285" s="32">
        <v>0</v>
      </c>
      <c r="M285" s="32">
        <v>0</v>
      </c>
      <c r="N285" s="33">
        <f>K285+L285+M285</f>
        <v>0</v>
      </c>
      <c r="O285" s="33">
        <v>0</v>
      </c>
      <c r="P285" s="33">
        <v>0</v>
      </c>
      <c r="Q285" s="33">
        <v>0</v>
      </c>
      <c r="R285" s="31">
        <f>O285+P285+Q285</f>
        <v>0</v>
      </c>
      <c r="S285" s="34">
        <v>0</v>
      </c>
      <c r="T285" s="35">
        <v>0</v>
      </c>
      <c r="U285" s="35">
        <f>SUM(R285:T285)</f>
        <v>0</v>
      </c>
      <c r="V285" s="34">
        <v>0</v>
      </c>
      <c r="W285" s="34">
        <f>V285-U285</f>
        <v>0</v>
      </c>
      <c r="X285" s="35">
        <v>0</v>
      </c>
      <c r="Y285" s="34">
        <v>0</v>
      </c>
      <c r="Z285" s="35">
        <f t="shared" si="85"/>
        <v>0</v>
      </c>
      <c r="AA285" s="35">
        <f t="shared" si="85"/>
        <v>0</v>
      </c>
      <c r="AB285" s="35">
        <f t="shared" si="85"/>
        <v>0</v>
      </c>
      <c r="AC285" s="27">
        <f t="shared" si="92"/>
        <v>0</v>
      </c>
      <c r="AD285" s="26">
        <v>0</v>
      </c>
      <c r="AE285" s="26">
        <v>0</v>
      </c>
      <c r="AF285" s="26">
        <f>SUM(AC285:AE285)</f>
        <v>0</v>
      </c>
      <c r="AG285" s="34">
        <v>0</v>
      </c>
      <c r="AH285" s="34">
        <v>0</v>
      </c>
      <c r="AI285" s="34">
        <f>SUM(AF285:AH285)</f>
        <v>0</v>
      </c>
    </row>
    <row r="286" spans="1:35" ht="15" customHeight="1" x14ac:dyDescent="0.25">
      <c r="A286" s="28" t="s">
        <v>83</v>
      </c>
      <c r="B286" s="141"/>
      <c r="C286" s="32"/>
      <c r="D286" s="32"/>
      <c r="E286" s="33"/>
      <c r="F286" s="33"/>
      <c r="G286" s="33"/>
      <c r="H286" s="32"/>
      <c r="I286" s="33"/>
      <c r="J286" s="33"/>
      <c r="K286" s="33"/>
      <c r="L286" s="32"/>
      <c r="M286" s="32"/>
      <c r="N286" s="33"/>
      <c r="O286" s="33">
        <v>0</v>
      </c>
      <c r="P286" s="33"/>
      <c r="Q286" s="33"/>
      <c r="R286" s="31"/>
      <c r="S286" s="34"/>
      <c r="T286" s="35">
        <f>3</f>
        <v>3</v>
      </c>
      <c r="U286" s="35">
        <f>SUM(R286:T286)</f>
        <v>3</v>
      </c>
      <c r="V286" s="34">
        <v>200</v>
      </c>
      <c r="W286" s="34">
        <v>0</v>
      </c>
      <c r="X286" s="34">
        <v>0</v>
      </c>
      <c r="Y286" s="34">
        <f>4</f>
        <v>4</v>
      </c>
      <c r="Z286" s="35">
        <f t="shared" si="85"/>
        <v>204</v>
      </c>
      <c r="AA286" s="35">
        <v>0</v>
      </c>
      <c r="AB286" s="35">
        <v>0</v>
      </c>
      <c r="AC286" s="27">
        <f t="shared" si="92"/>
        <v>204</v>
      </c>
      <c r="AD286" s="26">
        <v>-100</v>
      </c>
      <c r="AE286" s="26">
        <f>-57</f>
        <v>-57</v>
      </c>
      <c r="AF286" s="26">
        <f>SUM(AC286:AE286)</f>
        <v>47</v>
      </c>
      <c r="AG286" s="34">
        <v>0</v>
      </c>
      <c r="AH286" s="34">
        <v>0</v>
      </c>
      <c r="AI286" s="34">
        <f t="shared" ref="AI286:AI287" si="111">SUM(AF286:AH286)</f>
        <v>47</v>
      </c>
    </row>
    <row r="287" spans="1:35" ht="27.75" customHeight="1" thickBot="1" x14ac:dyDescent="0.3">
      <c r="A287" s="36" t="s">
        <v>342</v>
      </c>
      <c r="B287" s="147"/>
      <c r="C287" s="41">
        <v>8655</v>
      </c>
      <c r="D287" s="41">
        <v>9628</v>
      </c>
      <c r="E287" s="42">
        <v>-163</v>
      </c>
      <c r="F287" s="42">
        <v>531</v>
      </c>
      <c r="G287" s="42">
        <f>D287+E287+F287</f>
        <v>9996</v>
      </c>
      <c r="H287" s="41">
        <v>1400</v>
      </c>
      <c r="I287" s="42">
        <v>0</v>
      </c>
      <c r="J287" s="42">
        <v>0</v>
      </c>
      <c r="K287" s="42">
        <f>G287+H287+I287+J287</f>
        <v>11396</v>
      </c>
      <c r="L287" s="41">
        <f>268+28</f>
        <v>296</v>
      </c>
      <c r="M287" s="41">
        <v>0</v>
      </c>
      <c r="N287" s="42">
        <f>K287+L287+M287</f>
        <v>11692</v>
      </c>
      <c r="O287" s="42">
        <v>10621</v>
      </c>
      <c r="P287" s="42">
        <f>-329+325</f>
        <v>-4</v>
      </c>
      <c r="Q287" s="42">
        <v>329</v>
      </c>
      <c r="R287" s="39">
        <f>O287+P287+Q287-100-1110</f>
        <v>9736</v>
      </c>
      <c r="S287" s="44">
        <v>350</v>
      </c>
      <c r="T287" s="45">
        <f>1028</f>
        <v>1028</v>
      </c>
      <c r="U287" s="45">
        <f>SUM(R287:T287)</f>
        <v>11114</v>
      </c>
      <c r="V287" s="44">
        <v>15054</v>
      </c>
      <c r="W287" s="44">
        <f>-232-310+1711</f>
        <v>1169</v>
      </c>
      <c r="X287" s="45">
        <v>0</v>
      </c>
      <c r="Y287" s="44">
        <f>-440</f>
        <v>-440</v>
      </c>
      <c r="Z287" s="45">
        <f t="shared" si="85"/>
        <v>15783</v>
      </c>
      <c r="AA287" s="45">
        <v>0</v>
      </c>
      <c r="AB287" s="45">
        <v>0</v>
      </c>
      <c r="AC287" s="45">
        <f t="shared" si="92"/>
        <v>15783</v>
      </c>
      <c r="AD287" s="44">
        <v>-400</v>
      </c>
      <c r="AE287" s="44">
        <f>-50+47</f>
        <v>-3</v>
      </c>
      <c r="AF287" s="44">
        <f>SUM(AC287:AE287)</f>
        <v>15380</v>
      </c>
      <c r="AG287" s="44">
        <f>90</f>
        <v>90</v>
      </c>
      <c r="AH287" s="44">
        <v>0</v>
      </c>
      <c r="AI287" s="44">
        <f t="shared" si="111"/>
        <v>15470</v>
      </c>
    </row>
    <row r="288" spans="1:35" ht="26.45" customHeight="1" thickBot="1" x14ac:dyDescent="0.3">
      <c r="A288" s="240" t="s">
        <v>343</v>
      </c>
      <c r="B288" s="155"/>
      <c r="C288" s="183">
        <f t="shared" ref="C288:J288" si="112">C290+C291+C292+C293</f>
        <v>4069.58</v>
      </c>
      <c r="D288" s="183">
        <f t="shared" si="112"/>
        <v>4310</v>
      </c>
      <c r="E288" s="183">
        <f t="shared" si="112"/>
        <v>0</v>
      </c>
      <c r="F288" s="183">
        <f t="shared" si="112"/>
        <v>-42.199999999999989</v>
      </c>
      <c r="G288" s="187">
        <f t="shared" si="112"/>
        <v>4417.8</v>
      </c>
      <c r="H288" s="183">
        <f t="shared" si="112"/>
        <v>-30</v>
      </c>
      <c r="I288" s="183">
        <f t="shared" si="112"/>
        <v>0</v>
      </c>
      <c r="J288" s="183">
        <f t="shared" si="112"/>
        <v>0</v>
      </c>
      <c r="K288" s="156">
        <f>G288+H288+I288+J288</f>
        <v>4387.8</v>
      </c>
      <c r="L288" s="159">
        <f t="shared" ref="L288:R288" si="113">L290+L291+L292+L293</f>
        <v>0</v>
      </c>
      <c r="M288" s="159">
        <f t="shared" si="113"/>
        <v>200</v>
      </c>
      <c r="N288" s="156">
        <f t="shared" si="113"/>
        <v>4587.8</v>
      </c>
      <c r="O288" s="156">
        <f t="shared" si="113"/>
        <v>5406</v>
      </c>
      <c r="P288" s="156">
        <f t="shared" si="113"/>
        <v>0</v>
      </c>
      <c r="Q288" s="156">
        <f t="shared" si="113"/>
        <v>100</v>
      </c>
      <c r="R288" s="156">
        <f t="shared" si="113"/>
        <v>5656</v>
      </c>
      <c r="S288" s="128">
        <f t="shared" ref="S288:Y288" si="114">SUM(S290:S293)</f>
        <v>-900</v>
      </c>
      <c r="T288" s="129">
        <f t="shared" si="114"/>
        <v>0</v>
      </c>
      <c r="U288" s="129">
        <f t="shared" si="114"/>
        <v>4756</v>
      </c>
      <c r="V288" s="128">
        <f t="shared" si="114"/>
        <v>5521</v>
      </c>
      <c r="W288" s="128">
        <f t="shared" si="114"/>
        <v>2701</v>
      </c>
      <c r="X288" s="129">
        <f t="shared" si="114"/>
        <v>5000</v>
      </c>
      <c r="Y288" s="128">
        <f t="shared" si="114"/>
        <v>-577.14</v>
      </c>
      <c r="Z288" s="129">
        <f t="shared" si="85"/>
        <v>12644.86</v>
      </c>
      <c r="AA288" s="129">
        <f>SUM(AA290:AA293)</f>
        <v>0</v>
      </c>
      <c r="AB288" s="129">
        <f>SUM(AB290:AB293)</f>
        <v>60.26</v>
      </c>
      <c r="AC288" s="129">
        <f t="shared" si="92"/>
        <v>12705.12</v>
      </c>
      <c r="AD288" s="128">
        <f>SUM(AD290:AD293)</f>
        <v>820</v>
      </c>
      <c r="AE288" s="128">
        <f>SUM(AE290:AE293)</f>
        <v>-60.26</v>
      </c>
      <c r="AF288" s="128">
        <f>SUM(AF290:AF293)</f>
        <v>13627.73</v>
      </c>
      <c r="AG288" s="128">
        <f>SUM(AG290:AG293)</f>
        <v>-2604</v>
      </c>
      <c r="AH288" s="128">
        <f>SUM(AH290:AH293)</f>
        <v>0</v>
      </c>
      <c r="AI288" s="128">
        <f>SUM(AF288:AH288)</f>
        <v>11023.73</v>
      </c>
    </row>
    <row r="289" spans="1:35" ht="15" customHeight="1" x14ac:dyDescent="0.25">
      <c r="A289" s="167" t="s">
        <v>59</v>
      </c>
      <c r="B289" s="137"/>
      <c r="C289" s="24"/>
      <c r="D289" s="24"/>
      <c r="E289" s="25"/>
      <c r="F289" s="25"/>
      <c r="G289" s="25"/>
      <c r="H289" s="24"/>
      <c r="I289" s="25"/>
      <c r="J289" s="25"/>
      <c r="K289" s="131"/>
      <c r="L289" s="132"/>
      <c r="M289" s="132"/>
      <c r="N289" s="131"/>
      <c r="O289" s="131"/>
      <c r="P289" s="131"/>
      <c r="Q289" s="131"/>
      <c r="R289" s="131"/>
      <c r="S289" s="26"/>
      <c r="T289" s="27"/>
      <c r="U289" s="27"/>
      <c r="V289" s="26"/>
      <c r="W289" s="26"/>
      <c r="X289" s="27"/>
      <c r="Y289" s="26"/>
      <c r="Z289" s="27"/>
      <c r="AA289" s="27"/>
      <c r="AB289" s="27"/>
      <c r="AC289" s="27"/>
      <c r="AD289" s="26"/>
      <c r="AE289" s="26"/>
      <c r="AF289" s="26"/>
      <c r="AG289" s="26"/>
      <c r="AH289" s="26"/>
      <c r="AI289" s="26"/>
    </row>
    <row r="290" spans="1:35" ht="29.25" customHeight="1" x14ac:dyDescent="0.25">
      <c r="A290" s="28" t="s">
        <v>344</v>
      </c>
      <c r="B290" s="141"/>
      <c r="C290" s="32">
        <v>200</v>
      </c>
      <c r="D290" s="32">
        <v>0</v>
      </c>
      <c r="E290" s="33">
        <v>0</v>
      </c>
      <c r="F290" s="33">
        <v>0</v>
      </c>
      <c r="G290" s="33">
        <f>D290+E290+F290+150</f>
        <v>150</v>
      </c>
      <c r="H290" s="32">
        <v>0</v>
      </c>
      <c r="I290" s="33">
        <v>0</v>
      </c>
      <c r="J290" s="33">
        <v>0</v>
      </c>
      <c r="K290" s="33">
        <f>G290+H290+I290+J290</f>
        <v>150</v>
      </c>
      <c r="L290" s="32">
        <v>0</v>
      </c>
      <c r="M290" s="32">
        <v>0</v>
      </c>
      <c r="N290" s="33">
        <f>K290+L290+M290</f>
        <v>150</v>
      </c>
      <c r="O290" s="33">
        <v>0</v>
      </c>
      <c r="P290" s="33">
        <v>0</v>
      </c>
      <c r="Q290" s="33">
        <v>0</v>
      </c>
      <c r="R290" s="33">
        <f>O290+P290+Q290+150</f>
        <v>150</v>
      </c>
      <c r="S290" s="32">
        <v>0</v>
      </c>
      <c r="T290" s="33">
        <v>0</v>
      </c>
      <c r="U290" s="33">
        <f>SUM(R290:T290)</f>
        <v>150</v>
      </c>
      <c r="V290" s="34">
        <v>0</v>
      </c>
      <c r="W290" s="34">
        <v>0</v>
      </c>
      <c r="X290" s="35">
        <v>0</v>
      </c>
      <c r="Y290" s="34">
        <f>150</f>
        <v>150</v>
      </c>
      <c r="Z290" s="35">
        <f t="shared" ref="Z290:AB319" si="115">SUM(V290:Y290)</f>
        <v>150</v>
      </c>
      <c r="AA290" s="35">
        <v>0</v>
      </c>
      <c r="AB290" s="35">
        <v>0</v>
      </c>
      <c r="AC290" s="27">
        <f t="shared" si="92"/>
        <v>150</v>
      </c>
      <c r="AD290" s="26">
        <v>0</v>
      </c>
      <c r="AE290" s="26">
        <v>0</v>
      </c>
      <c r="AF290" s="26">
        <f>SUM(AC290:AE290)+50+112.87</f>
        <v>312.87</v>
      </c>
      <c r="AG290" s="34">
        <v>0</v>
      </c>
      <c r="AH290" s="34">
        <v>0</v>
      </c>
      <c r="AI290" s="34">
        <f>SUM(AF290:AH290)</f>
        <v>312.87</v>
      </c>
    </row>
    <row r="291" spans="1:35" ht="15.75" customHeight="1" x14ac:dyDescent="0.25">
      <c r="A291" s="163" t="s">
        <v>83</v>
      </c>
      <c r="B291" s="141"/>
      <c r="C291" s="32">
        <v>245</v>
      </c>
      <c r="D291" s="32">
        <v>250</v>
      </c>
      <c r="E291" s="33">
        <v>0</v>
      </c>
      <c r="F291" s="33">
        <v>0</v>
      </c>
      <c r="G291" s="33">
        <f>D291+E291+F291</f>
        <v>250</v>
      </c>
      <c r="H291" s="32">
        <v>0</v>
      </c>
      <c r="I291" s="33">
        <v>0</v>
      </c>
      <c r="J291" s="33">
        <v>0</v>
      </c>
      <c r="K291" s="33">
        <f>G291+H291+I291+J291</f>
        <v>250</v>
      </c>
      <c r="L291" s="32">
        <v>50</v>
      </c>
      <c r="M291" s="32">
        <v>0</v>
      </c>
      <c r="N291" s="33">
        <f>K291+L291+M291</f>
        <v>300</v>
      </c>
      <c r="O291" s="33">
        <v>310</v>
      </c>
      <c r="P291" s="33">
        <v>0</v>
      </c>
      <c r="Q291" s="33">
        <v>0</v>
      </c>
      <c r="R291" s="33">
        <f>O291+P291+Q291</f>
        <v>310</v>
      </c>
      <c r="S291" s="34">
        <v>0</v>
      </c>
      <c r="T291" s="35">
        <v>0</v>
      </c>
      <c r="U291" s="35">
        <f>SUM(R291:T291)</f>
        <v>310</v>
      </c>
      <c r="V291" s="34">
        <v>310</v>
      </c>
      <c r="W291" s="34">
        <f>-20</f>
        <v>-20</v>
      </c>
      <c r="X291" s="35">
        <v>0</v>
      </c>
      <c r="Y291" s="34">
        <v>0</v>
      </c>
      <c r="Z291" s="35">
        <f t="shared" si="115"/>
        <v>290</v>
      </c>
      <c r="AA291" s="35">
        <v>0</v>
      </c>
      <c r="AB291" s="35">
        <v>0</v>
      </c>
      <c r="AC291" s="27">
        <f t="shared" si="92"/>
        <v>290</v>
      </c>
      <c r="AD291" s="26">
        <v>0</v>
      </c>
      <c r="AE291" s="26">
        <v>0</v>
      </c>
      <c r="AF291" s="26">
        <f>SUM(AC291:AE291)</f>
        <v>290</v>
      </c>
      <c r="AG291" s="34">
        <v>0</v>
      </c>
      <c r="AH291" s="34">
        <v>0</v>
      </c>
      <c r="AI291" s="34">
        <f t="shared" ref="AI291:AI293" si="116">SUM(AF291:AH291)</f>
        <v>290</v>
      </c>
    </row>
    <row r="292" spans="1:35" x14ac:dyDescent="0.25">
      <c r="A292" s="167" t="s">
        <v>345</v>
      </c>
      <c r="B292" s="139" t="s">
        <v>346</v>
      </c>
      <c r="C292" s="24">
        <v>393</v>
      </c>
      <c r="D292" s="24">
        <v>600</v>
      </c>
      <c r="E292" s="25">
        <v>0</v>
      </c>
      <c r="F292" s="25">
        <v>-142.19999999999999</v>
      </c>
      <c r="G292" s="25">
        <f>D292+E292+F292</f>
        <v>457.8</v>
      </c>
      <c r="H292" s="24">
        <v>-30</v>
      </c>
      <c r="I292" s="25">
        <v>0</v>
      </c>
      <c r="J292" s="25">
        <v>0</v>
      </c>
      <c r="K292" s="25">
        <f>G292+H292+I292+J292</f>
        <v>427.8</v>
      </c>
      <c r="L292" s="24">
        <v>0</v>
      </c>
      <c r="M292" s="24">
        <v>0</v>
      </c>
      <c r="N292" s="25">
        <f>K292+L292+M292</f>
        <v>427.8</v>
      </c>
      <c r="O292" s="25">
        <v>800</v>
      </c>
      <c r="P292" s="25">
        <v>0</v>
      </c>
      <c r="Q292" s="25">
        <v>0</v>
      </c>
      <c r="R292" s="33">
        <f>O292+P292+Q292</f>
        <v>800</v>
      </c>
      <c r="S292" s="34">
        <v>0</v>
      </c>
      <c r="T292" s="35">
        <v>0</v>
      </c>
      <c r="U292" s="35">
        <f>SUM(R292:T292)</f>
        <v>800</v>
      </c>
      <c r="V292" s="34">
        <v>850</v>
      </c>
      <c r="W292" s="34">
        <v>0</v>
      </c>
      <c r="X292" s="35">
        <v>0</v>
      </c>
      <c r="Y292" s="34">
        <v>0</v>
      </c>
      <c r="Z292" s="35">
        <f t="shared" si="115"/>
        <v>850</v>
      </c>
      <c r="AA292" s="35">
        <v>0</v>
      </c>
      <c r="AB292" s="35">
        <v>0</v>
      </c>
      <c r="AC292" s="27">
        <f t="shared" si="92"/>
        <v>850</v>
      </c>
      <c r="AD292" s="26">
        <v>0</v>
      </c>
      <c r="AE292" s="26">
        <v>0</v>
      </c>
      <c r="AF292" s="26">
        <f>SUM(AC292:AE292)</f>
        <v>850</v>
      </c>
      <c r="AG292" s="34">
        <f>-104</f>
        <v>-104</v>
      </c>
      <c r="AH292" s="34">
        <v>0</v>
      </c>
      <c r="AI292" s="34">
        <f t="shared" si="116"/>
        <v>746</v>
      </c>
    </row>
    <row r="293" spans="1:35" ht="28.5" customHeight="1" thickBot="1" x14ac:dyDescent="0.3">
      <c r="A293" s="36" t="s">
        <v>347</v>
      </c>
      <c r="B293" s="147"/>
      <c r="C293" s="41">
        <v>3231.58</v>
      </c>
      <c r="D293" s="41">
        <v>3460</v>
      </c>
      <c r="E293" s="42">
        <v>0</v>
      </c>
      <c r="F293" s="42">
        <v>100</v>
      </c>
      <c r="G293" s="42">
        <f>D293+E293+F293</f>
        <v>3560</v>
      </c>
      <c r="H293" s="41">
        <v>0</v>
      </c>
      <c r="I293" s="42">
        <v>0</v>
      </c>
      <c r="J293" s="42">
        <v>0</v>
      </c>
      <c r="K293" s="42">
        <f>G293+H293+I293+J293</f>
        <v>3560</v>
      </c>
      <c r="L293" s="41">
        <v>-50</v>
      </c>
      <c r="M293" s="41">
        <v>200</v>
      </c>
      <c r="N293" s="42">
        <f>K293+L293+M293</f>
        <v>3710</v>
      </c>
      <c r="O293" s="42">
        <v>4296</v>
      </c>
      <c r="P293" s="42">
        <v>0</v>
      </c>
      <c r="Q293" s="42">
        <v>100</v>
      </c>
      <c r="R293" s="42">
        <f>O293+P293+Q293</f>
        <v>4396</v>
      </c>
      <c r="S293" s="41">
        <v>-900</v>
      </c>
      <c r="T293" s="42">
        <v>0</v>
      </c>
      <c r="U293" s="42">
        <f>SUM(R293:T293)</f>
        <v>3496</v>
      </c>
      <c r="V293" s="44">
        <v>4361</v>
      </c>
      <c r="W293" s="44">
        <f>-44-50+2000+815</f>
        <v>2721</v>
      </c>
      <c r="X293" s="45">
        <f>5000</f>
        <v>5000</v>
      </c>
      <c r="Y293" s="44">
        <f>-727.14</f>
        <v>-727.14</v>
      </c>
      <c r="Z293" s="45">
        <f t="shared" si="115"/>
        <v>11354.86</v>
      </c>
      <c r="AA293" s="45">
        <v>0</v>
      </c>
      <c r="AB293" s="45">
        <f>60.26</f>
        <v>60.26</v>
      </c>
      <c r="AC293" s="45">
        <f t="shared" si="92"/>
        <v>11415.12</v>
      </c>
      <c r="AD293" s="44">
        <v>820</v>
      </c>
      <c r="AE293" s="44">
        <f>-60.26</f>
        <v>-60.26</v>
      </c>
      <c r="AF293" s="44">
        <f>SUM(AC293:AE293)</f>
        <v>12174.86</v>
      </c>
      <c r="AG293" s="44">
        <f>-2500</f>
        <v>-2500</v>
      </c>
      <c r="AH293" s="44">
        <v>0</v>
      </c>
      <c r="AI293" s="34">
        <f t="shared" si="116"/>
        <v>9674.86</v>
      </c>
    </row>
    <row r="294" spans="1:35" ht="15.75" customHeight="1" thickBot="1" x14ac:dyDescent="0.3">
      <c r="A294" s="199" t="s">
        <v>348</v>
      </c>
      <c r="B294" s="200"/>
      <c r="C294" s="201" t="e">
        <f t="shared" ref="C294:R294" si="117">C23+C39+C45+C53+C60+C65+C167+C179+C189+C193+C251+C255+C278+C283+C288</f>
        <v>#REF!</v>
      </c>
      <c r="D294" s="201" t="e">
        <f t="shared" si="117"/>
        <v>#REF!</v>
      </c>
      <c r="E294" s="201" t="e">
        <f t="shared" si="117"/>
        <v>#REF!</v>
      </c>
      <c r="F294" s="201" t="e">
        <f t="shared" si="117"/>
        <v>#REF!</v>
      </c>
      <c r="G294" s="201" t="e">
        <f t="shared" si="117"/>
        <v>#REF!</v>
      </c>
      <c r="H294" s="201" t="e">
        <f t="shared" si="117"/>
        <v>#REF!</v>
      </c>
      <c r="I294" s="201" t="e">
        <f t="shared" si="117"/>
        <v>#REF!</v>
      </c>
      <c r="J294" s="201" t="e">
        <f t="shared" si="117"/>
        <v>#REF!</v>
      </c>
      <c r="K294" s="202" t="e">
        <f t="shared" si="117"/>
        <v>#REF!</v>
      </c>
      <c r="L294" s="202" t="e">
        <f t="shared" si="117"/>
        <v>#REF!</v>
      </c>
      <c r="M294" s="202" t="e">
        <f t="shared" si="117"/>
        <v>#REF!</v>
      </c>
      <c r="N294" s="202" t="e">
        <f t="shared" si="117"/>
        <v>#REF!</v>
      </c>
      <c r="O294" s="202">
        <f t="shared" si="117"/>
        <v>1140666.42</v>
      </c>
      <c r="P294" s="202" t="e">
        <f t="shared" si="117"/>
        <v>#REF!</v>
      </c>
      <c r="Q294" s="202" t="e">
        <f t="shared" si="117"/>
        <v>#REF!</v>
      </c>
      <c r="R294" s="202">
        <f t="shared" si="117"/>
        <v>1226355.72</v>
      </c>
      <c r="S294" s="203">
        <f>S288+S283+S278+S255+S251+S193+S189+S179+S167+S65+S60+S53+S45+S39+S23</f>
        <v>12397.009999999998</v>
      </c>
      <c r="T294" s="204">
        <f>SUM(T23,T39,T45,T53,T60,T65,T167,T179,T189,T193,T251,T255,T278,T283,T288)</f>
        <v>10863.41</v>
      </c>
      <c r="U294" s="204">
        <f>U288+U283+U278+U255+U251+U193+U189+U179+U167+U65+U60+U53+U45+U39+U23</f>
        <v>1249620.6399999999</v>
      </c>
      <c r="V294" s="203">
        <f>V288+V283+V278+V255+V251+V193+V189+V179+V167+V65+V60+V53+V45+V39+V23</f>
        <v>1219319.3800000001</v>
      </c>
      <c r="W294" s="203">
        <f>SUM(W23+W39+W45+W53+W60+W65+W167+W179+W189+W193+W251+W255+W278+W283+W288)</f>
        <v>61125.67</v>
      </c>
      <c r="X294" s="204">
        <f>SUM(X23+X39+X45+X53+X60+X65+X167+X179+X189+X193+X251+X255+X278+X283+X288)</f>
        <v>5000</v>
      </c>
      <c r="Y294" s="203">
        <f>SUM(Y23+Y39+Y45+Y53+Y60+Y65+Y167+Y179+Y189+Y193+Y251+Y255+Y278+Y283+Y288)</f>
        <v>59842.729999999996</v>
      </c>
      <c r="Z294" s="204">
        <f t="shared" si="115"/>
        <v>1345287.78</v>
      </c>
      <c r="AA294" s="204">
        <f>SUM(AA23+AA39+AA45+AA53+AA60+AA65+AA167+AA179+AA189+AA193+AA251+AA255+AA278+AA283+AA288)</f>
        <v>-37411.25</v>
      </c>
      <c r="AB294" s="204">
        <f>SUM(AB23+AB39+AB45+AB53+AB60+AB65+AB167+AB179+AB189+AB193+AB251+AB255+AB278+AB283+AB288)</f>
        <v>23282.269999999997</v>
      </c>
      <c r="AC294" s="204">
        <f t="shared" si="92"/>
        <v>1331158.8</v>
      </c>
      <c r="AD294" s="203">
        <f>AD23+AD39+AD45+AD53+AD60+AD65+AD167+AD179+AD189+AD193+AD251+AD255+AD278+AD283+AD288</f>
        <v>-58803.880000000005</v>
      </c>
      <c r="AE294" s="203">
        <f>SUM(AE23+AE39+AE45+AE53+AE60+AE65+AE167+AE179+AE189+AE193+AE251+AE255+AE278+AE283+AE288)</f>
        <v>13598.089999999998</v>
      </c>
      <c r="AF294" s="203">
        <f>AF23+AF39+AF45+AF53+AF60+AF65+AF167+AF179+AF189+AF193+AF251+AF255+AF278+AF283+AF288</f>
        <v>1290492.71</v>
      </c>
      <c r="AG294" s="203">
        <f>SUM(AG23+AG39+AG45+AG53+AG60+AG65+AG167+AG179+AG189+AG193+AG251+AG255+AG278+AG283+AG288)</f>
        <v>-18963.37</v>
      </c>
      <c r="AH294" s="203">
        <f>SUM(AH23+AH39+AH45+AH53+AH60+AH65+AH167+AH179+AH189+AH193+AH251+AH255+AH278+AH283+AH288)</f>
        <v>-538.34</v>
      </c>
      <c r="AI294" s="203">
        <f>SUM(AF294:AH294)</f>
        <v>1270990.9999999998</v>
      </c>
    </row>
    <row r="295" spans="1:35" ht="13.5" customHeight="1" thickBot="1" x14ac:dyDescent="0.3">
      <c r="A295" s="205"/>
      <c r="B295" s="206"/>
      <c r="C295" s="207"/>
      <c r="D295" s="207"/>
      <c r="E295" s="208"/>
      <c r="F295" s="208"/>
      <c r="G295" s="208"/>
      <c r="H295" s="207"/>
      <c r="I295" s="208"/>
      <c r="J295" s="208"/>
      <c r="K295" s="208"/>
      <c r="L295" s="208"/>
      <c r="M295" s="208"/>
      <c r="N295" s="208"/>
      <c r="O295" s="208"/>
      <c r="P295" s="208"/>
      <c r="Q295" s="208"/>
      <c r="R295" s="208"/>
      <c r="S295" s="209"/>
      <c r="T295" s="210"/>
      <c r="U295" s="210"/>
      <c r="V295" s="211"/>
      <c r="W295" s="211"/>
      <c r="X295" s="212"/>
      <c r="Y295" s="211"/>
      <c r="Z295" s="46"/>
      <c r="AA295" s="46"/>
      <c r="AB295" s="46"/>
      <c r="AC295" s="46"/>
      <c r="AD295" s="47"/>
      <c r="AE295" s="47"/>
      <c r="AF295" s="47"/>
      <c r="AG295" s="47"/>
      <c r="AH295" s="47"/>
      <c r="AI295" s="47"/>
    </row>
    <row r="296" spans="1:35" ht="15.75" customHeight="1" thickBot="1" x14ac:dyDescent="0.3">
      <c r="A296" s="199" t="s">
        <v>349</v>
      </c>
      <c r="B296" s="213"/>
      <c r="C296" s="214"/>
      <c r="D296" s="214"/>
      <c r="E296" s="215"/>
      <c r="F296" s="215"/>
      <c r="G296" s="215"/>
      <c r="H296" s="114"/>
      <c r="I296" s="115"/>
      <c r="J296" s="115"/>
      <c r="K296" s="116"/>
      <c r="L296" s="117"/>
      <c r="M296" s="117"/>
      <c r="N296" s="116"/>
      <c r="O296" s="116"/>
      <c r="P296" s="116"/>
      <c r="Q296" s="116"/>
      <c r="R296" s="116"/>
      <c r="S296" s="119"/>
      <c r="T296" s="120"/>
      <c r="U296" s="120"/>
      <c r="V296" s="119"/>
      <c r="W296" s="119"/>
      <c r="X296" s="120"/>
      <c r="Y296" s="119"/>
      <c r="Z296" s="121"/>
      <c r="AA296" s="121"/>
      <c r="AB296" s="121"/>
      <c r="AC296" s="121"/>
      <c r="AD296" s="122"/>
      <c r="AE296" s="122"/>
      <c r="AF296" s="122"/>
      <c r="AG296" s="122"/>
      <c r="AH296" s="122"/>
      <c r="AI296" s="122"/>
    </row>
    <row r="297" spans="1:35" ht="15.75" thickBot="1" x14ac:dyDescent="0.3">
      <c r="A297" s="165" t="s">
        <v>58</v>
      </c>
      <c r="B297" s="155"/>
      <c r="C297" s="183">
        <f>C304</f>
        <v>0</v>
      </c>
      <c r="D297" s="183">
        <f>D304</f>
        <v>0</v>
      </c>
      <c r="E297" s="183">
        <f>E304</f>
        <v>0</v>
      </c>
      <c r="F297" s="183">
        <f>F304</f>
        <v>0</v>
      </c>
      <c r="G297" s="187">
        <f>D297+E297+F297</f>
        <v>0</v>
      </c>
      <c r="H297" s="183">
        <f>H304</f>
        <v>0</v>
      </c>
      <c r="I297" s="183">
        <f>I304</f>
        <v>0</v>
      </c>
      <c r="J297" s="183">
        <f>J304</f>
        <v>0</v>
      </c>
      <c r="K297" s="156">
        <f>G297+H297+I297+J297</f>
        <v>0</v>
      </c>
      <c r="L297" s="159">
        <f>L304</f>
        <v>0</v>
      </c>
      <c r="M297" s="159">
        <f>M304</f>
        <v>0</v>
      </c>
      <c r="N297" s="156">
        <f>N304</f>
        <v>0</v>
      </c>
      <c r="O297" s="156" t="e">
        <f>#REF!+O304</f>
        <v>#REF!</v>
      </c>
      <c r="P297" s="156" t="e">
        <f>#REF!+P304</f>
        <v>#REF!</v>
      </c>
      <c r="Q297" s="156" t="e">
        <f>#REF!+Q304</f>
        <v>#REF!</v>
      </c>
      <c r="R297" s="156" t="e">
        <f>O297+P297+Q297</f>
        <v>#REF!</v>
      </c>
      <c r="S297" s="128">
        <f>SUM(S304:S304)</f>
        <v>0</v>
      </c>
      <c r="T297" s="129">
        <f>SUM(T304:T304)</f>
        <v>0</v>
      </c>
      <c r="U297" s="129">
        <f>SUM(U304:U304)</f>
        <v>0</v>
      </c>
      <c r="V297" s="128">
        <f>SUM(V299:V304)</f>
        <v>0</v>
      </c>
      <c r="W297" s="128">
        <f>SUM(W299:W304)</f>
        <v>215</v>
      </c>
      <c r="X297" s="129">
        <f>SUM(X299:X304)</f>
        <v>0</v>
      </c>
      <c r="Y297" s="128">
        <f>SUM(Y299:Y304)</f>
        <v>0</v>
      </c>
      <c r="Z297" s="129">
        <f t="shared" si="115"/>
        <v>215</v>
      </c>
      <c r="AA297" s="129">
        <f>SUM(AA299:AA302)</f>
        <v>0</v>
      </c>
      <c r="AB297" s="129">
        <f>SUM(AB299:AB302)</f>
        <v>0</v>
      </c>
      <c r="AC297" s="129">
        <f t="shared" si="92"/>
        <v>215</v>
      </c>
      <c r="AD297" s="128">
        <f>SUM(AD298:AD304)</f>
        <v>0</v>
      </c>
      <c r="AE297" s="128">
        <f>SUM(AE299:AE304)</f>
        <v>0</v>
      </c>
      <c r="AF297" s="128">
        <f>SUM(AF298:AF304)</f>
        <v>214.8</v>
      </c>
      <c r="AG297" s="128">
        <f>SUM(AG299:AG304)</f>
        <v>115</v>
      </c>
      <c r="AH297" s="128">
        <f>SUM(AH299:AH304)</f>
        <v>0</v>
      </c>
      <c r="AI297" s="128">
        <f>SUM(AF297:AH297)</f>
        <v>329.8</v>
      </c>
    </row>
    <row r="298" spans="1:35" x14ac:dyDescent="0.25">
      <c r="A298" s="216" t="s">
        <v>59</v>
      </c>
      <c r="B298" s="152"/>
      <c r="C298" s="217"/>
      <c r="D298" s="217"/>
      <c r="E298" s="218"/>
      <c r="F298" s="218"/>
      <c r="G298" s="218"/>
      <c r="H298" s="217"/>
      <c r="I298" s="218"/>
      <c r="J298" s="218"/>
      <c r="K298" s="219"/>
      <c r="L298" s="220"/>
      <c r="M298" s="220"/>
      <c r="N298" s="219"/>
      <c r="O298" s="219"/>
      <c r="P298" s="219"/>
      <c r="Q298" s="219"/>
      <c r="R298" s="219"/>
      <c r="S298" s="221"/>
      <c r="T298" s="222"/>
      <c r="U298" s="222"/>
      <c r="V298" s="221"/>
      <c r="W298" s="221"/>
      <c r="X298" s="222"/>
      <c r="Y298" s="221"/>
      <c r="Z298" s="222"/>
      <c r="AA298" s="222"/>
      <c r="AB298" s="222"/>
      <c r="AC298" s="222"/>
      <c r="AD298" s="221"/>
      <c r="AE298" s="221"/>
      <c r="AF298" s="221"/>
      <c r="AG298" s="221"/>
      <c r="AH298" s="221"/>
      <c r="AI298" s="221"/>
    </row>
    <row r="299" spans="1:35" ht="25.5" x14ac:dyDescent="0.25">
      <c r="A299" s="20" t="s">
        <v>350</v>
      </c>
      <c r="B299" s="137" t="s">
        <v>63</v>
      </c>
      <c r="C299" s="24"/>
      <c r="D299" s="24"/>
      <c r="E299" s="25"/>
      <c r="F299" s="25"/>
      <c r="G299" s="25"/>
      <c r="H299" s="24"/>
      <c r="I299" s="25"/>
      <c r="J299" s="25"/>
      <c r="K299" s="131"/>
      <c r="L299" s="132"/>
      <c r="M299" s="132"/>
      <c r="N299" s="131"/>
      <c r="O299" s="131"/>
      <c r="P299" s="58"/>
      <c r="Q299" s="58"/>
      <c r="R299" s="131"/>
      <c r="S299" s="24"/>
      <c r="T299" s="25"/>
      <c r="U299" s="25"/>
      <c r="V299" s="26">
        <v>0</v>
      </c>
      <c r="W299" s="26">
        <f>20</f>
        <v>20</v>
      </c>
      <c r="X299" s="27">
        <v>0</v>
      </c>
      <c r="Y299" s="26">
        <v>0</v>
      </c>
      <c r="Z299" s="27">
        <f t="shared" si="115"/>
        <v>20</v>
      </c>
      <c r="AA299" s="27">
        <v>0</v>
      </c>
      <c r="AB299" s="27">
        <v>0</v>
      </c>
      <c r="AC299" s="27">
        <f t="shared" si="92"/>
        <v>20</v>
      </c>
      <c r="AD299" s="26">
        <v>0</v>
      </c>
      <c r="AE299" s="26">
        <v>0</v>
      </c>
      <c r="AF299" s="26">
        <f>SUM(AC299:AE299)</f>
        <v>20</v>
      </c>
      <c r="AG299" s="26">
        <v>0</v>
      </c>
      <c r="AH299" s="26">
        <v>0</v>
      </c>
      <c r="AI299" s="26">
        <f>SUM(AF299:AH299)</f>
        <v>20</v>
      </c>
    </row>
    <row r="300" spans="1:35" ht="42.75" customHeight="1" x14ac:dyDescent="0.25">
      <c r="A300" s="20" t="s">
        <v>351</v>
      </c>
      <c r="B300" s="137" t="s">
        <v>63</v>
      </c>
      <c r="C300" s="24"/>
      <c r="D300" s="24"/>
      <c r="E300" s="25"/>
      <c r="F300" s="25"/>
      <c r="G300" s="25"/>
      <c r="H300" s="24"/>
      <c r="I300" s="25"/>
      <c r="J300" s="25"/>
      <c r="K300" s="131"/>
      <c r="L300" s="132"/>
      <c r="M300" s="132"/>
      <c r="N300" s="131"/>
      <c r="O300" s="131"/>
      <c r="P300" s="58"/>
      <c r="Q300" s="58"/>
      <c r="R300" s="131"/>
      <c r="S300" s="24"/>
      <c r="T300" s="25"/>
      <c r="U300" s="25"/>
      <c r="V300" s="26">
        <v>0</v>
      </c>
      <c r="W300" s="26">
        <f>50</f>
        <v>50</v>
      </c>
      <c r="X300" s="27">
        <v>0</v>
      </c>
      <c r="Y300" s="26">
        <v>0</v>
      </c>
      <c r="Z300" s="35">
        <f t="shared" si="115"/>
        <v>50</v>
      </c>
      <c r="AA300" s="35">
        <v>0</v>
      </c>
      <c r="AB300" s="35">
        <v>0</v>
      </c>
      <c r="AC300" s="27">
        <f t="shared" si="92"/>
        <v>50</v>
      </c>
      <c r="AD300" s="26">
        <v>0</v>
      </c>
      <c r="AE300" s="26">
        <v>0</v>
      </c>
      <c r="AF300" s="26">
        <f t="shared" ref="AF300:AF304" si="118">SUM(AC300:AE300)</f>
        <v>50</v>
      </c>
      <c r="AG300" s="34">
        <v>0</v>
      </c>
      <c r="AH300" s="34">
        <v>0</v>
      </c>
      <c r="AI300" s="26">
        <f t="shared" ref="AI300:AI304" si="119">SUM(AF300:AH300)</f>
        <v>50</v>
      </c>
    </row>
    <row r="301" spans="1:35" ht="52.9" customHeight="1" x14ac:dyDescent="0.25">
      <c r="A301" s="20" t="s">
        <v>352</v>
      </c>
      <c r="B301" s="137" t="s">
        <v>353</v>
      </c>
      <c r="C301" s="24"/>
      <c r="D301" s="24"/>
      <c r="E301" s="25"/>
      <c r="F301" s="25"/>
      <c r="G301" s="25"/>
      <c r="H301" s="24"/>
      <c r="I301" s="25"/>
      <c r="J301" s="25"/>
      <c r="K301" s="131"/>
      <c r="L301" s="132"/>
      <c r="M301" s="132"/>
      <c r="N301" s="131"/>
      <c r="O301" s="131"/>
      <c r="P301" s="58"/>
      <c r="Q301" s="58"/>
      <c r="R301" s="131"/>
      <c r="S301" s="24"/>
      <c r="T301" s="25"/>
      <c r="U301" s="25"/>
      <c r="V301" s="26">
        <v>0</v>
      </c>
      <c r="W301" s="26">
        <f>45</f>
        <v>45</v>
      </c>
      <c r="X301" s="27">
        <v>0</v>
      </c>
      <c r="Y301" s="26">
        <v>0</v>
      </c>
      <c r="Z301" s="35">
        <f>SUM(V301:Y301)</f>
        <v>45</v>
      </c>
      <c r="AA301" s="35">
        <v>0</v>
      </c>
      <c r="AB301" s="35">
        <v>0</v>
      </c>
      <c r="AC301" s="27">
        <f t="shared" si="92"/>
        <v>45</v>
      </c>
      <c r="AD301" s="26">
        <v>0</v>
      </c>
      <c r="AE301" s="26">
        <v>0</v>
      </c>
      <c r="AF301" s="26">
        <f t="shared" si="118"/>
        <v>45</v>
      </c>
      <c r="AG301" s="34">
        <v>0</v>
      </c>
      <c r="AH301" s="34">
        <v>0</v>
      </c>
      <c r="AI301" s="26">
        <f t="shared" si="119"/>
        <v>45</v>
      </c>
    </row>
    <row r="302" spans="1:35" ht="26.25" customHeight="1" x14ac:dyDescent="0.25">
      <c r="A302" s="20" t="s">
        <v>354</v>
      </c>
      <c r="B302" s="137" t="s">
        <v>63</v>
      </c>
      <c r="C302" s="24"/>
      <c r="D302" s="24"/>
      <c r="E302" s="25"/>
      <c r="F302" s="25"/>
      <c r="G302" s="25"/>
      <c r="H302" s="24"/>
      <c r="I302" s="25"/>
      <c r="J302" s="25"/>
      <c r="K302" s="131"/>
      <c r="L302" s="132"/>
      <c r="M302" s="132"/>
      <c r="N302" s="131"/>
      <c r="O302" s="131"/>
      <c r="P302" s="131"/>
      <c r="Q302" s="131"/>
      <c r="R302" s="131"/>
      <c r="S302" s="24"/>
      <c r="T302" s="25"/>
      <c r="U302" s="25"/>
      <c r="V302" s="26">
        <v>0</v>
      </c>
      <c r="W302" s="26">
        <f>100</f>
        <v>100</v>
      </c>
      <c r="X302" s="27">
        <v>0</v>
      </c>
      <c r="Y302" s="26">
        <v>0</v>
      </c>
      <c r="Z302" s="35">
        <f t="shared" si="115"/>
        <v>100</v>
      </c>
      <c r="AA302" s="35">
        <v>0</v>
      </c>
      <c r="AB302" s="35">
        <v>0</v>
      </c>
      <c r="AC302" s="27">
        <f t="shared" si="92"/>
        <v>100</v>
      </c>
      <c r="AD302" s="26">
        <v>0</v>
      </c>
      <c r="AE302" s="26">
        <v>0</v>
      </c>
      <c r="AF302" s="26">
        <f>SUM(AC302:AE302)-0.2</f>
        <v>99.8</v>
      </c>
      <c r="AG302" s="34">
        <v>0</v>
      </c>
      <c r="AH302" s="34">
        <v>0</v>
      </c>
      <c r="AI302" s="26">
        <f t="shared" si="119"/>
        <v>99.8</v>
      </c>
    </row>
    <row r="303" spans="1:35" ht="37.5" customHeight="1" x14ac:dyDescent="0.25">
      <c r="A303" s="28" t="s">
        <v>355</v>
      </c>
      <c r="B303" s="141" t="s">
        <v>356</v>
      </c>
      <c r="C303" s="32"/>
      <c r="D303" s="32"/>
      <c r="E303" s="33"/>
      <c r="F303" s="33"/>
      <c r="G303" s="33"/>
      <c r="H303" s="32"/>
      <c r="I303" s="33"/>
      <c r="J303" s="33"/>
      <c r="K303" s="143"/>
      <c r="L303" s="144"/>
      <c r="M303" s="144"/>
      <c r="N303" s="143"/>
      <c r="O303" s="143"/>
      <c r="P303" s="143"/>
      <c r="Q303" s="143"/>
      <c r="R303" s="143"/>
      <c r="S303" s="32"/>
      <c r="T303" s="33"/>
      <c r="U303" s="33"/>
      <c r="V303" s="34">
        <v>0</v>
      </c>
      <c r="W303" s="34"/>
      <c r="X303" s="35"/>
      <c r="Y303" s="34"/>
      <c r="Z303" s="35"/>
      <c r="AA303" s="35"/>
      <c r="AB303" s="35"/>
      <c r="AC303" s="35"/>
      <c r="AD303" s="34"/>
      <c r="AE303" s="34"/>
      <c r="AF303" s="34">
        <v>0</v>
      </c>
      <c r="AG303" s="34">
        <f>115</f>
        <v>115</v>
      </c>
      <c r="AH303" s="34">
        <v>0</v>
      </c>
      <c r="AI303" s="26">
        <f>SUM(AF303:AH303)</f>
        <v>115</v>
      </c>
    </row>
    <row r="304" spans="1:35" ht="14.25" customHeight="1" thickBot="1" x14ac:dyDescent="0.3">
      <c r="A304" s="195" t="s">
        <v>357</v>
      </c>
      <c r="B304" s="196"/>
      <c r="C304" s="105">
        <v>0</v>
      </c>
      <c r="D304" s="105">
        <v>0</v>
      </c>
      <c r="E304" s="43">
        <v>0</v>
      </c>
      <c r="F304" s="43">
        <v>0</v>
      </c>
      <c r="G304" s="43">
        <f>D304+E304+F304</f>
        <v>0</v>
      </c>
      <c r="H304" s="105">
        <v>0</v>
      </c>
      <c r="I304" s="43">
        <v>0</v>
      </c>
      <c r="J304" s="43">
        <v>0</v>
      </c>
      <c r="K304" s="58">
        <f>G304+H304+I304+J304</f>
        <v>0</v>
      </c>
      <c r="L304" s="57">
        <v>0</v>
      </c>
      <c r="M304" s="57">
        <v>0</v>
      </c>
      <c r="N304" s="58">
        <f>K304+L304+M304</f>
        <v>0</v>
      </c>
      <c r="O304" s="58">
        <v>0</v>
      </c>
      <c r="P304" s="58">
        <v>0</v>
      </c>
      <c r="Q304" s="58">
        <v>0</v>
      </c>
      <c r="R304" s="58">
        <f>O304+P304+Q304</f>
        <v>0</v>
      </c>
      <c r="S304" s="47">
        <v>0</v>
      </c>
      <c r="T304" s="46">
        <v>0</v>
      </c>
      <c r="U304" s="46">
        <f>SUM(R304:T304)</f>
        <v>0</v>
      </c>
      <c r="V304" s="47">
        <v>0</v>
      </c>
      <c r="W304" s="47">
        <f>V304-U304</f>
        <v>0</v>
      </c>
      <c r="X304" s="47">
        <v>0</v>
      </c>
      <c r="Y304" s="47">
        <v>0</v>
      </c>
      <c r="Z304" s="46">
        <f t="shared" si="115"/>
        <v>0</v>
      </c>
      <c r="AA304" s="46">
        <f t="shared" si="115"/>
        <v>0</v>
      </c>
      <c r="AB304" s="46">
        <v>0</v>
      </c>
      <c r="AC304" s="46">
        <f t="shared" ref="AC304:AC371" si="120">Z304+AA304+AB304</f>
        <v>0</v>
      </c>
      <c r="AD304" s="47">
        <v>0</v>
      </c>
      <c r="AE304" s="47">
        <v>0</v>
      </c>
      <c r="AF304" s="105">
        <f t="shared" si="118"/>
        <v>0</v>
      </c>
      <c r="AG304" s="105">
        <v>0</v>
      </c>
      <c r="AH304" s="105">
        <v>0</v>
      </c>
      <c r="AI304" s="26">
        <f t="shared" si="119"/>
        <v>0</v>
      </c>
    </row>
    <row r="305" spans="1:35" ht="15.75" thickBot="1" x14ac:dyDescent="0.3">
      <c r="A305" s="165" t="s">
        <v>358</v>
      </c>
      <c r="B305" s="155"/>
      <c r="C305" s="183">
        <f>C307+C308+C309+C310</f>
        <v>564</v>
      </c>
      <c r="D305" s="183">
        <f>D307+D308+D309+D310</f>
        <v>2300</v>
      </c>
      <c r="E305" s="183">
        <f t="shared" ref="E305:N305" si="121">E307+E308+E309+E310</f>
        <v>50</v>
      </c>
      <c r="F305" s="183">
        <f t="shared" si="121"/>
        <v>0</v>
      </c>
      <c r="G305" s="183">
        <f t="shared" si="121"/>
        <v>2350</v>
      </c>
      <c r="H305" s="183">
        <f t="shared" si="121"/>
        <v>0</v>
      </c>
      <c r="I305" s="183">
        <f t="shared" si="121"/>
        <v>0</v>
      </c>
      <c r="J305" s="183">
        <f t="shared" si="121"/>
        <v>0</v>
      </c>
      <c r="K305" s="183">
        <f t="shared" si="121"/>
        <v>2350</v>
      </c>
      <c r="L305" s="183">
        <f t="shared" si="121"/>
        <v>0</v>
      </c>
      <c r="M305" s="183">
        <f t="shared" si="121"/>
        <v>0</v>
      </c>
      <c r="N305" s="187">
        <f t="shared" si="121"/>
        <v>2350</v>
      </c>
      <c r="O305" s="156">
        <f>O307+O308+O309+O310</f>
        <v>500</v>
      </c>
      <c r="P305" s="156">
        <f>P307+P308+P309+P310</f>
        <v>1371</v>
      </c>
      <c r="Q305" s="156">
        <f>Q307+Q308+Q309+Q310</f>
        <v>775</v>
      </c>
      <c r="R305" s="156">
        <f>R307+R308+R309+R310</f>
        <v>2646</v>
      </c>
      <c r="S305" s="128">
        <f t="shared" ref="S305:Y305" si="122">SUM(S307:S310)</f>
        <v>0</v>
      </c>
      <c r="T305" s="129">
        <f t="shared" si="122"/>
        <v>0</v>
      </c>
      <c r="U305" s="129">
        <f t="shared" si="122"/>
        <v>2646</v>
      </c>
      <c r="V305" s="128">
        <f t="shared" si="122"/>
        <v>400</v>
      </c>
      <c r="W305" s="128">
        <f t="shared" si="122"/>
        <v>367</v>
      </c>
      <c r="X305" s="129">
        <f t="shared" si="122"/>
        <v>0</v>
      </c>
      <c r="Y305" s="128">
        <f t="shared" si="122"/>
        <v>-40</v>
      </c>
      <c r="Z305" s="129">
        <f t="shared" si="115"/>
        <v>727</v>
      </c>
      <c r="AA305" s="129">
        <f>SUM(AA307:AA310)</f>
        <v>0</v>
      </c>
      <c r="AB305" s="129">
        <f>SUM(AB307:AB310)</f>
        <v>0</v>
      </c>
      <c r="AC305" s="129">
        <f t="shared" si="120"/>
        <v>727</v>
      </c>
      <c r="AD305" s="128">
        <f>SUM(AD307:AD310)</f>
        <v>0</v>
      </c>
      <c r="AE305" s="128">
        <f>SUM(AE307:AE310)</f>
        <v>0</v>
      </c>
      <c r="AF305" s="128">
        <f>SUM(AF307:AF310)</f>
        <v>727</v>
      </c>
      <c r="AG305" s="128">
        <f>SUM(AG307:AG310)</f>
        <v>0</v>
      </c>
      <c r="AH305" s="128">
        <f>SUM(AH307:AH310)</f>
        <v>0</v>
      </c>
      <c r="AI305" s="128">
        <f>SUM(AF305:AH305)</f>
        <v>727</v>
      </c>
    </row>
    <row r="306" spans="1:35" x14ac:dyDescent="0.25">
      <c r="A306" s="167" t="s">
        <v>59</v>
      </c>
      <c r="B306" s="137"/>
      <c r="C306" s="24"/>
      <c r="D306" s="24"/>
      <c r="E306" s="25"/>
      <c r="F306" s="25"/>
      <c r="G306" s="25"/>
      <c r="H306" s="24"/>
      <c r="I306" s="25"/>
      <c r="J306" s="25"/>
      <c r="K306" s="131"/>
      <c r="L306" s="132"/>
      <c r="M306" s="132"/>
      <c r="N306" s="131"/>
      <c r="O306" s="131"/>
      <c r="P306" s="131"/>
      <c r="Q306" s="131"/>
      <c r="R306" s="131"/>
      <c r="S306" s="26"/>
      <c r="T306" s="27"/>
      <c r="U306" s="27"/>
      <c r="V306" s="26"/>
      <c r="W306" s="26"/>
      <c r="X306" s="27"/>
      <c r="Y306" s="26"/>
      <c r="Z306" s="27"/>
      <c r="AA306" s="27"/>
      <c r="AB306" s="27"/>
      <c r="AC306" s="27"/>
      <c r="AD306" s="26"/>
      <c r="AE306" s="26"/>
      <c r="AF306" s="26"/>
      <c r="AG306" s="26"/>
      <c r="AH306" s="26"/>
      <c r="AI306" s="26"/>
    </row>
    <row r="307" spans="1:35" x14ac:dyDescent="0.25">
      <c r="A307" s="163" t="s">
        <v>359</v>
      </c>
      <c r="B307" s="141"/>
      <c r="C307" s="32">
        <v>0</v>
      </c>
      <c r="D307" s="32">
        <v>0</v>
      </c>
      <c r="E307" s="33">
        <v>0</v>
      </c>
      <c r="F307" s="33">
        <v>0</v>
      </c>
      <c r="G307" s="33">
        <f>D307+E307+F307</f>
        <v>0</v>
      </c>
      <c r="H307" s="32">
        <v>0</v>
      </c>
      <c r="I307" s="33">
        <v>0</v>
      </c>
      <c r="J307" s="33">
        <v>0</v>
      </c>
      <c r="K307" s="33">
        <f>G307+H307+I307+J307</f>
        <v>0</v>
      </c>
      <c r="L307" s="32">
        <v>0</v>
      </c>
      <c r="M307" s="32">
        <v>0</v>
      </c>
      <c r="N307" s="33">
        <f>K307+L307+M307</f>
        <v>0</v>
      </c>
      <c r="O307" s="33">
        <v>0</v>
      </c>
      <c r="P307" s="33">
        <v>0</v>
      </c>
      <c r="Q307" s="33">
        <v>0</v>
      </c>
      <c r="R307" s="31">
        <f>O307+P307+Q307</f>
        <v>0</v>
      </c>
      <c r="S307" s="34">
        <v>0</v>
      </c>
      <c r="T307" s="35">
        <v>0</v>
      </c>
      <c r="U307" s="35">
        <f>SUM(R307:T307)</f>
        <v>0</v>
      </c>
      <c r="V307" s="34">
        <v>0</v>
      </c>
      <c r="W307" s="34">
        <f>V307-U307</f>
        <v>0</v>
      </c>
      <c r="X307" s="35">
        <v>0</v>
      </c>
      <c r="Y307" s="34">
        <v>0</v>
      </c>
      <c r="Z307" s="35">
        <f t="shared" si="115"/>
        <v>0</v>
      </c>
      <c r="AA307" s="35">
        <f t="shared" si="115"/>
        <v>0</v>
      </c>
      <c r="AB307" s="35">
        <f t="shared" si="115"/>
        <v>0</v>
      </c>
      <c r="AC307" s="27">
        <f t="shared" si="120"/>
        <v>0</v>
      </c>
      <c r="AD307" s="26">
        <v>0</v>
      </c>
      <c r="AE307" s="26">
        <v>0</v>
      </c>
      <c r="AF307" s="26">
        <f>SUM(AC307:AE307)</f>
        <v>0</v>
      </c>
      <c r="AG307" s="34">
        <v>0</v>
      </c>
      <c r="AH307" s="34">
        <v>0</v>
      </c>
      <c r="AI307" s="34">
        <f>SUM(AF307:AH307)</f>
        <v>0</v>
      </c>
    </row>
    <row r="308" spans="1:35" x14ac:dyDescent="0.25">
      <c r="A308" s="163" t="s">
        <v>360</v>
      </c>
      <c r="B308" s="141"/>
      <c r="C308" s="32">
        <v>209</v>
      </c>
      <c r="D308" s="32">
        <v>2000</v>
      </c>
      <c r="E308" s="33">
        <v>50</v>
      </c>
      <c r="F308" s="33">
        <v>0</v>
      </c>
      <c r="G308" s="33">
        <f>D308+E308+F308</f>
        <v>2050</v>
      </c>
      <c r="H308" s="32">
        <v>0</v>
      </c>
      <c r="I308" s="33">
        <v>0</v>
      </c>
      <c r="J308" s="33">
        <v>0</v>
      </c>
      <c r="K308" s="33">
        <f>G308+H308+I308+J308</f>
        <v>2050</v>
      </c>
      <c r="L308" s="32">
        <v>0</v>
      </c>
      <c r="M308" s="32">
        <v>0</v>
      </c>
      <c r="N308" s="33">
        <f>K308+L308+M308</f>
        <v>2050</v>
      </c>
      <c r="O308" s="33">
        <v>0</v>
      </c>
      <c r="P308" s="33">
        <v>1216</v>
      </c>
      <c r="Q308" s="33">
        <v>450</v>
      </c>
      <c r="R308" s="31">
        <f>O308+P308+Q308</f>
        <v>1666</v>
      </c>
      <c r="S308" s="34">
        <v>0</v>
      </c>
      <c r="T308" s="35">
        <v>0</v>
      </c>
      <c r="U308" s="35">
        <f>SUM(R308:T308)</f>
        <v>1666</v>
      </c>
      <c r="V308" s="34">
        <v>0</v>
      </c>
      <c r="W308" s="34">
        <f>407</f>
        <v>407</v>
      </c>
      <c r="X308" s="35">
        <v>0</v>
      </c>
      <c r="Y308" s="34">
        <v>0</v>
      </c>
      <c r="Z308" s="35">
        <f t="shared" si="115"/>
        <v>407</v>
      </c>
      <c r="AA308" s="35">
        <v>0</v>
      </c>
      <c r="AB308" s="35">
        <v>0</v>
      </c>
      <c r="AC308" s="27">
        <f t="shared" si="120"/>
        <v>407</v>
      </c>
      <c r="AD308" s="26">
        <v>0</v>
      </c>
      <c r="AE308" s="26">
        <v>0</v>
      </c>
      <c r="AF308" s="26">
        <f t="shared" ref="AF308:AF309" si="123">SUM(AC308:AE308)</f>
        <v>407</v>
      </c>
      <c r="AG308" s="34">
        <v>0</v>
      </c>
      <c r="AH308" s="34">
        <v>0</v>
      </c>
      <c r="AI308" s="34">
        <f>SUM(AF308:AH308)</f>
        <v>407</v>
      </c>
    </row>
    <row r="309" spans="1:35" ht="16.5" customHeight="1" x14ac:dyDescent="0.25">
      <c r="A309" s="163" t="s">
        <v>361</v>
      </c>
      <c r="B309" s="141"/>
      <c r="C309" s="32">
        <v>355</v>
      </c>
      <c r="D309" s="32">
        <v>300</v>
      </c>
      <c r="E309" s="33">
        <v>0</v>
      </c>
      <c r="F309" s="33">
        <v>0</v>
      </c>
      <c r="G309" s="33">
        <f>D309+E309+F309</f>
        <v>300</v>
      </c>
      <c r="H309" s="32">
        <v>0</v>
      </c>
      <c r="I309" s="33">
        <v>0</v>
      </c>
      <c r="J309" s="33">
        <v>0</v>
      </c>
      <c r="K309" s="33">
        <f>335-35</f>
        <v>300</v>
      </c>
      <c r="L309" s="32">
        <v>0</v>
      </c>
      <c r="M309" s="32">
        <v>0</v>
      </c>
      <c r="N309" s="33">
        <f>K309+L309+M309</f>
        <v>300</v>
      </c>
      <c r="O309" s="33">
        <v>500</v>
      </c>
      <c r="P309" s="33">
        <v>155</v>
      </c>
      <c r="Q309" s="33">
        <v>325</v>
      </c>
      <c r="R309" s="31">
        <f>O309+P309+Q309</f>
        <v>980</v>
      </c>
      <c r="S309" s="34">
        <v>0</v>
      </c>
      <c r="T309" s="35">
        <v>0</v>
      </c>
      <c r="U309" s="35">
        <f>SUM(R309:T309)</f>
        <v>980</v>
      </c>
      <c r="V309" s="34">
        <v>400</v>
      </c>
      <c r="W309" s="34">
        <f>-40</f>
        <v>-40</v>
      </c>
      <c r="X309" s="35">
        <v>0</v>
      </c>
      <c r="Y309" s="34">
        <f>-40</f>
        <v>-40</v>
      </c>
      <c r="Z309" s="35">
        <f t="shared" si="115"/>
        <v>320</v>
      </c>
      <c r="AA309" s="35">
        <v>0</v>
      </c>
      <c r="AB309" s="35">
        <v>0</v>
      </c>
      <c r="AC309" s="27">
        <f t="shared" si="120"/>
        <v>320</v>
      </c>
      <c r="AD309" s="26">
        <v>0</v>
      </c>
      <c r="AE309" s="26">
        <v>0</v>
      </c>
      <c r="AF309" s="26">
        <f t="shared" si="123"/>
        <v>320</v>
      </c>
      <c r="AG309" s="34">
        <v>0</v>
      </c>
      <c r="AH309" s="34">
        <v>0</v>
      </c>
      <c r="AI309" s="34">
        <f t="shared" ref="AI309:AI310" si="124">SUM(AF309:AH309)</f>
        <v>320</v>
      </c>
    </row>
    <row r="310" spans="1:35" ht="15.75" thickBot="1" x14ac:dyDescent="0.3">
      <c r="A310" s="164" t="s">
        <v>362</v>
      </c>
      <c r="B310" s="147"/>
      <c r="C310" s="41">
        <v>0</v>
      </c>
      <c r="D310" s="41">
        <v>0</v>
      </c>
      <c r="E310" s="42">
        <v>0</v>
      </c>
      <c r="F310" s="42">
        <v>0</v>
      </c>
      <c r="G310" s="42">
        <f>D310+E310+F310</f>
        <v>0</v>
      </c>
      <c r="H310" s="41">
        <v>0</v>
      </c>
      <c r="I310" s="42">
        <v>0</v>
      </c>
      <c r="J310" s="42">
        <v>0</v>
      </c>
      <c r="K310" s="42">
        <f>G310+H310+I310+J310</f>
        <v>0</v>
      </c>
      <c r="L310" s="41">
        <v>0</v>
      </c>
      <c r="M310" s="41">
        <v>0</v>
      </c>
      <c r="N310" s="42">
        <f>K310+L310+M310</f>
        <v>0</v>
      </c>
      <c r="O310" s="42">
        <v>0</v>
      </c>
      <c r="P310" s="42">
        <v>0</v>
      </c>
      <c r="Q310" s="42">
        <v>0</v>
      </c>
      <c r="R310" s="39">
        <f>O310+P310+Q310</f>
        <v>0</v>
      </c>
      <c r="S310" s="44">
        <v>0</v>
      </c>
      <c r="T310" s="45">
        <v>0</v>
      </c>
      <c r="U310" s="44">
        <f>SUM(R310:T310)</f>
        <v>0</v>
      </c>
      <c r="V310" s="44">
        <v>0</v>
      </c>
      <c r="W310" s="44">
        <f>V310-U310</f>
        <v>0</v>
      </c>
      <c r="X310" s="44">
        <v>0</v>
      </c>
      <c r="Y310" s="44">
        <v>0</v>
      </c>
      <c r="Z310" s="45">
        <f t="shared" si="115"/>
        <v>0</v>
      </c>
      <c r="AA310" s="45">
        <f t="shared" si="115"/>
        <v>0</v>
      </c>
      <c r="AB310" s="44">
        <v>0</v>
      </c>
      <c r="AC310" s="46">
        <f t="shared" si="120"/>
        <v>0</v>
      </c>
      <c r="AD310" s="47">
        <v>0</v>
      </c>
      <c r="AE310" s="47">
        <v>0</v>
      </c>
      <c r="AF310" s="47">
        <f>SUM(AC310:AE310)</f>
        <v>0</v>
      </c>
      <c r="AG310" s="44">
        <v>0</v>
      </c>
      <c r="AH310" s="44">
        <v>0</v>
      </c>
      <c r="AI310" s="34">
        <f t="shared" si="124"/>
        <v>0</v>
      </c>
    </row>
    <row r="311" spans="1:35" ht="15.75" thickBot="1" x14ac:dyDescent="0.3">
      <c r="A311" s="165" t="s">
        <v>86</v>
      </c>
      <c r="B311" s="155"/>
      <c r="C311" s="183">
        <f>C313+C314+C315+C316+C317+C318+C319</f>
        <v>45821.72</v>
      </c>
      <c r="D311" s="183">
        <f>D313+D314+D315+D316+D317+D318+D319</f>
        <v>34303.1</v>
      </c>
      <c r="E311" s="183">
        <f t="shared" ref="E311:J311" si="125">E313+E314+E315+E316+E317+E318+E319</f>
        <v>-374</v>
      </c>
      <c r="F311" s="183">
        <f t="shared" si="125"/>
        <v>-2570.1700000000005</v>
      </c>
      <c r="G311" s="183">
        <f t="shared" si="125"/>
        <v>28065.93</v>
      </c>
      <c r="H311" s="183">
        <f t="shared" si="125"/>
        <v>-600</v>
      </c>
      <c r="I311" s="183">
        <f t="shared" si="125"/>
        <v>0</v>
      </c>
      <c r="J311" s="183">
        <f t="shared" si="125"/>
        <v>0</v>
      </c>
      <c r="K311" s="156">
        <f>G311+H311+I311+J311</f>
        <v>27465.93</v>
      </c>
      <c r="L311" s="159">
        <f t="shared" ref="L311:R311" si="126">L313+L314+L315+L316+L317+L318+L319</f>
        <v>1020.3499999999999</v>
      </c>
      <c r="M311" s="159">
        <f t="shared" si="126"/>
        <v>0</v>
      </c>
      <c r="N311" s="156">
        <f t="shared" si="126"/>
        <v>28486.28</v>
      </c>
      <c r="O311" s="156">
        <f t="shared" si="126"/>
        <v>35740.46</v>
      </c>
      <c r="P311" s="156">
        <f t="shared" si="126"/>
        <v>-13166</v>
      </c>
      <c r="Q311" s="156">
        <f t="shared" si="126"/>
        <v>20000</v>
      </c>
      <c r="R311" s="156">
        <f t="shared" si="126"/>
        <v>42289.760000000002</v>
      </c>
      <c r="S311" s="128">
        <f t="shared" ref="S311:Y311" si="127">SUM(S313:S319)</f>
        <v>-20000</v>
      </c>
      <c r="T311" s="129">
        <f t="shared" si="127"/>
        <v>1836</v>
      </c>
      <c r="U311" s="129">
        <f t="shared" si="127"/>
        <v>24125.760000000002</v>
      </c>
      <c r="V311" s="128">
        <f t="shared" si="127"/>
        <v>23857.66</v>
      </c>
      <c r="W311" s="128">
        <f t="shared" si="127"/>
        <v>-4107.74</v>
      </c>
      <c r="X311" s="129">
        <f t="shared" si="127"/>
        <v>0</v>
      </c>
      <c r="Y311" s="128">
        <f t="shared" si="127"/>
        <v>-1213.3499999999999</v>
      </c>
      <c r="Z311" s="129">
        <f t="shared" si="115"/>
        <v>18536.57</v>
      </c>
      <c r="AA311" s="129">
        <f>SUM(AA313:AA319)</f>
        <v>0</v>
      </c>
      <c r="AB311" s="129">
        <f>SUM(AB313:AB319)</f>
        <v>-1143.1999999999998</v>
      </c>
      <c r="AC311" s="129">
        <f t="shared" si="120"/>
        <v>17393.37</v>
      </c>
      <c r="AD311" s="128">
        <f>SUM(AD313:AD319)</f>
        <v>-2300</v>
      </c>
      <c r="AE311" s="128">
        <f>SUM(AE313:AE319)</f>
        <v>-2899.1</v>
      </c>
      <c r="AF311" s="128">
        <f>SUM(AF313:AF319)</f>
        <v>12094.27</v>
      </c>
      <c r="AG311" s="128">
        <f>SUM(AG313:AG319)</f>
        <v>-12094.27</v>
      </c>
      <c r="AH311" s="128">
        <f>SUM(AH313:AH319)</f>
        <v>0</v>
      </c>
      <c r="AI311" s="128">
        <f>SUM(AF311:AH311)</f>
        <v>0</v>
      </c>
    </row>
    <row r="312" spans="1:35" x14ac:dyDescent="0.25">
      <c r="A312" s="167" t="s">
        <v>59</v>
      </c>
      <c r="B312" s="137"/>
      <c r="C312" s="24"/>
      <c r="D312" s="24"/>
      <c r="E312" s="25"/>
      <c r="F312" s="25"/>
      <c r="G312" s="25"/>
      <c r="H312" s="24"/>
      <c r="I312" s="25"/>
      <c r="J312" s="25"/>
      <c r="K312" s="131"/>
      <c r="L312" s="132"/>
      <c r="M312" s="132"/>
      <c r="N312" s="131"/>
      <c r="O312" s="131"/>
      <c r="P312" s="131"/>
      <c r="Q312" s="131"/>
      <c r="R312" s="131"/>
      <c r="S312" s="26"/>
      <c r="T312" s="27"/>
      <c r="U312" s="27"/>
      <c r="V312" s="26"/>
      <c r="W312" s="26"/>
      <c r="X312" s="27"/>
      <c r="Y312" s="26"/>
      <c r="Z312" s="27"/>
      <c r="AA312" s="27"/>
      <c r="AB312" s="27"/>
      <c r="AC312" s="27"/>
      <c r="AD312" s="26"/>
      <c r="AE312" s="26"/>
      <c r="AF312" s="26"/>
      <c r="AG312" s="26"/>
      <c r="AH312" s="26"/>
      <c r="AI312" s="26"/>
    </row>
    <row r="313" spans="1:35" x14ac:dyDescent="0.25">
      <c r="A313" s="163" t="s">
        <v>363</v>
      </c>
      <c r="B313" s="141"/>
      <c r="C313" s="32">
        <v>25641.62</v>
      </c>
      <c r="D313" s="32">
        <v>0</v>
      </c>
      <c r="E313" s="33">
        <v>0</v>
      </c>
      <c r="F313" s="33">
        <v>0</v>
      </c>
      <c r="G313" s="33">
        <f>D313+E313+F313</f>
        <v>0</v>
      </c>
      <c r="H313" s="32">
        <v>0</v>
      </c>
      <c r="I313" s="33">
        <v>0</v>
      </c>
      <c r="J313" s="33">
        <v>0</v>
      </c>
      <c r="K313" s="33">
        <f>G313+H313+I313+J313</f>
        <v>0</v>
      </c>
      <c r="L313" s="32">
        <v>0</v>
      </c>
      <c r="M313" s="32">
        <v>0</v>
      </c>
      <c r="N313" s="33">
        <f>K313+L313+M313</f>
        <v>0</v>
      </c>
      <c r="O313" s="33">
        <v>0</v>
      </c>
      <c r="P313" s="33">
        <v>0</v>
      </c>
      <c r="Q313" s="33">
        <v>20000</v>
      </c>
      <c r="R313" s="31">
        <f>O313+P313+Q313</f>
        <v>20000</v>
      </c>
      <c r="S313" s="34">
        <v>-20000</v>
      </c>
      <c r="T313" s="35">
        <v>0</v>
      </c>
      <c r="U313" s="35">
        <f t="shared" ref="U313:U319" si="128">SUM(R313:T313)</f>
        <v>0</v>
      </c>
      <c r="V313" s="34">
        <v>0</v>
      </c>
      <c r="W313" s="34">
        <f>V313-U313</f>
        <v>0</v>
      </c>
      <c r="X313" s="35">
        <v>0</v>
      </c>
      <c r="Y313" s="34">
        <v>0</v>
      </c>
      <c r="Z313" s="35">
        <f t="shared" si="115"/>
        <v>0</v>
      </c>
      <c r="AA313" s="35">
        <v>0</v>
      </c>
      <c r="AB313" s="35">
        <f t="shared" si="115"/>
        <v>0</v>
      </c>
      <c r="AC313" s="27">
        <f t="shared" si="120"/>
        <v>0</v>
      </c>
      <c r="AD313" s="26">
        <v>0</v>
      </c>
      <c r="AE313" s="26">
        <v>0</v>
      </c>
      <c r="AF313" s="26">
        <f>SUM(AC313:AE313)</f>
        <v>0</v>
      </c>
      <c r="AG313" s="34">
        <v>0</v>
      </c>
      <c r="AH313" s="34">
        <v>0</v>
      </c>
      <c r="AI313" s="34">
        <f>SUM(AF313:AH313)</f>
        <v>0</v>
      </c>
    </row>
    <row r="314" spans="1:35" x14ac:dyDescent="0.25">
      <c r="A314" s="163" t="s">
        <v>364</v>
      </c>
      <c r="B314" s="141"/>
      <c r="C314" s="32">
        <v>4722</v>
      </c>
      <c r="D314" s="32">
        <v>7857</v>
      </c>
      <c r="E314" s="33">
        <f>-114-200-60</f>
        <v>-374</v>
      </c>
      <c r="F314" s="33">
        <f>-865.9</f>
        <v>-865.9</v>
      </c>
      <c r="G314" s="33">
        <f>D314+E314+F314-150</f>
        <v>6467.1</v>
      </c>
      <c r="H314" s="32">
        <v>-600</v>
      </c>
      <c r="I314" s="33">
        <v>0</v>
      </c>
      <c r="J314" s="33">
        <v>0</v>
      </c>
      <c r="K314" s="33">
        <f t="shared" ref="K314:K319" si="129">G314+H314+I314+J314</f>
        <v>5867.1</v>
      </c>
      <c r="L314" s="32">
        <v>-150</v>
      </c>
      <c r="M314" s="32">
        <v>0</v>
      </c>
      <c r="N314" s="33">
        <f t="shared" ref="N314:N319" si="130">K314+L314+M314</f>
        <v>5717.1</v>
      </c>
      <c r="O314" s="33">
        <v>8255.94</v>
      </c>
      <c r="P314" s="33">
        <f>-100</f>
        <v>-100</v>
      </c>
      <c r="Q314" s="33">
        <v>0</v>
      </c>
      <c r="R314" s="31">
        <f>O314+P314+Q314-161.1-68</f>
        <v>7926.84</v>
      </c>
      <c r="S314" s="34">
        <v>0</v>
      </c>
      <c r="T314" s="35">
        <f>-237</f>
        <v>-237</v>
      </c>
      <c r="U314" s="35">
        <f t="shared" si="128"/>
        <v>7689.84</v>
      </c>
      <c r="V314" s="34">
        <v>2121.84</v>
      </c>
      <c r="W314" s="34">
        <v>0</v>
      </c>
      <c r="X314" s="35">
        <v>0</v>
      </c>
      <c r="Y314" s="34">
        <v>0</v>
      </c>
      <c r="Z314" s="35">
        <f t="shared" si="115"/>
        <v>2121.84</v>
      </c>
      <c r="AA314" s="35">
        <v>0</v>
      </c>
      <c r="AB314" s="35">
        <v>0</v>
      </c>
      <c r="AC314" s="27">
        <f t="shared" si="120"/>
        <v>2121.84</v>
      </c>
      <c r="AD314" s="26">
        <v>0</v>
      </c>
      <c r="AE314" s="26">
        <v>0</v>
      </c>
      <c r="AF314" s="26">
        <f t="shared" ref="AF314:AF319" si="131">SUM(AC314:AE314)</f>
        <v>2121.84</v>
      </c>
      <c r="AG314" s="34">
        <f>-2121.84</f>
        <v>-2121.84</v>
      </c>
      <c r="AH314" s="34">
        <v>0</v>
      </c>
      <c r="AI314" s="34">
        <f t="shared" ref="AI314:AI319" si="132">SUM(AF314:AH314)</f>
        <v>0</v>
      </c>
    </row>
    <row r="315" spans="1:35" x14ac:dyDescent="0.25">
      <c r="A315" s="163" t="s">
        <v>365</v>
      </c>
      <c r="B315" s="141"/>
      <c r="C315" s="32">
        <v>0</v>
      </c>
      <c r="D315" s="32">
        <v>2830</v>
      </c>
      <c r="E315" s="33">
        <v>0</v>
      </c>
      <c r="F315" s="33">
        <v>3053.83</v>
      </c>
      <c r="G315" s="33">
        <f>D315+E315+F315-1587-500</f>
        <v>3796.83</v>
      </c>
      <c r="H315" s="32">
        <v>0</v>
      </c>
      <c r="I315" s="33">
        <v>0</v>
      </c>
      <c r="J315" s="33">
        <v>0</v>
      </c>
      <c r="K315" s="33">
        <f t="shared" si="129"/>
        <v>3796.83</v>
      </c>
      <c r="L315" s="32">
        <v>1170.3499999999999</v>
      </c>
      <c r="M315" s="32">
        <v>0</v>
      </c>
      <c r="N315" s="33">
        <f t="shared" si="130"/>
        <v>4967.18</v>
      </c>
      <c r="O315" s="33">
        <v>8067.18</v>
      </c>
      <c r="P315" s="33">
        <f>-3000-920-4077</f>
        <v>-7997</v>
      </c>
      <c r="Q315" s="33">
        <v>0</v>
      </c>
      <c r="R315" s="31">
        <f>O315+P315+Q315-55.6</f>
        <v>14.58000000000029</v>
      </c>
      <c r="S315" s="34">
        <v>0</v>
      </c>
      <c r="T315" s="35">
        <v>0</v>
      </c>
      <c r="U315" s="35">
        <f t="shared" si="128"/>
        <v>14.58000000000029</v>
      </c>
      <c r="V315" s="34">
        <v>3299.58</v>
      </c>
      <c r="W315" s="34">
        <v>0</v>
      </c>
      <c r="X315" s="35">
        <v>0</v>
      </c>
      <c r="Y315" s="34">
        <f>-1206.05</f>
        <v>-1206.05</v>
      </c>
      <c r="Z315" s="35">
        <f t="shared" si="115"/>
        <v>2093.5299999999997</v>
      </c>
      <c r="AA315" s="35">
        <v>0</v>
      </c>
      <c r="AB315" s="35">
        <f>-1125-15.1</f>
        <v>-1140.0999999999999</v>
      </c>
      <c r="AC315" s="27">
        <f t="shared" si="120"/>
        <v>953.42999999999984</v>
      </c>
      <c r="AD315" s="26">
        <v>0</v>
      </c>
      <c r="AE315" s="26">
        <f>-61.7-877.4</f>
        <v>-939.1</v>
      </c>
      <c r="AF315" s="26">
        <f t="shared" si="131"/>
        <v>14.329999999999814</v>
      </c>
      <c r="AG315" s="34">
        <f>-14.33</f>
        <v>-14.33</v>
      </c>
      <c r="AH315" s="34">
        <v>0</v>
      </c>
      <c r="AI315" s="34">
        <f t="shared" si="132"/>
        <v>-1.865174681370263E-13</v>
      </c>
    </row>
    <row r="316" spans="1:35" ht="25.5" x14ac:dyDescent="0.25">
      <c r="A316" s="20" t="s">
        <v>366</v>
      </c>
      <c r="B316" s="137"/>
      <c r="C316" s="24">
        <v>2158.1</v>
      </c>
      <c r="D316" s="24">
        <v>4758.1000000000004</v>
      </c>
      <c r="E316" s="25">
        <v>0</v>
      </c>
      <c r="F316" s="25">
        <f>-4758.1</f>
        <v>-4758.1000000000004</v>
      </c>
      <c r="G316" s="25">
        <f>D316+E316+F316</f>
        <v>0</v>
      </c>
      <c r="H316" s="24">
        <v>0</v>
      </c>
      <c r="I316" s="25">
        <v>0</v>
      </c>
      <c r="J316" s="25">
        <v>0</v>
      </c>
      <c r="K316" s="33">
        <f t="shared" si="129"/>
        <v>0</v>
      </c>
      <c r="L316" s="32">
        <v>0</v>
      </c>
      <c r="M316" s="32">
        <v>0</v>
      </c>
      <c r="N316" s="33">
        <f t="shared" si="130"/>
        <v>0</v>
      </c>
      <c r="O316" s="33">
        <v>434.1</v>
      </c>
      <c r="P316" s="33">
        <f>-389</f>
        <v>-389</v>
      </c>
      <c r="Q316" s="33">
        <v>0</v>
      </c>
      <c r="R316" s="31">
        <f>O316+P316+Q316</f>
        <v>45.100000000000023</v>
      </c>
      <c r="S316" s="34">
        <v>0</v>
      </c>
      <c r="T316" s="35">
        <f>-60</f>
        <v>-60</v>
      </c>
      <c r="U316" s="35">
        <f t="shared" si="128"/>
        <v>-14.899999999999977</v>
      </c>
      <c r="V316" s="34">
        <v>1300</v>
      </c>
      <c r="W316" s="34">
        <f>343.66</f>
        <v>343.66</v>
      </c>
      <c r="X316" s="35">
        <v>0</v>
      </c>
      <c r="Y316" s="34">
        <f>-7.3</f>
        <v>-7.3</v>
      </c>
      <c r="Z316" s="35">
        <f t="shared" si="115"/>
        <v>1636.3600000000001</v>
      </c>
      <c r="AA316" s="35">
        <v>0</v>
      </c>
      <c r="AB316" s="35">
        <f>-121-1.1</f>
        <v>-122.1</v>
      </c>
      <c r="AC316" s="27">
        <f t="shared" si="120"/>
        <v>1514.2600000000002</v>
      </c>
      <c r="AD316" s="26">
        <v>0</v>
      </c>
      <c r="AE316" s="26">
        <v>0</v>
      </c>
      <c r="AF316" s="26">
        <f>SUM(AC316:AE316)</f>
        <v>1514.2600000000002</v>
      </c>
      <c r="AG316" s="34">
        <f>-1514.26</f>
        <v>-1514.26</v>
      </c>
      <c r="AH316" s="34">
        <v>0</v>
      </c>
      <c r="AI316" s="34">
        <f t="shared" si="132"/>
        <v>2.2737367544323206E-13</v>
      </c>
    </row>
    <row r="317" spans="1:35" x14ac:dyDescent="0.25">
      <c r="A317" s="163" t="s">
        <v>367</v>
      </c>
      <c r="B317" s="141"/>
      <c r="C317" s="32">
        <v>9788</v>
      </c>
      <c r="D317" s="32">
        <v>13146</v>
      </c>
      <c r="E317" s="33">
        <v>0</v>
      </c>
      <c r="F317" s="33">
        <v>0</v>
      </c>
      <c r="G317" s="33">
        <f>D317+E317+F317-506</f>
        <v>12640</v>
      </c>
      <c r="H317" s="32">
        <v>0</v>
      </c>
      <c r="I317" s="33">
        <v>0</v>
      </c>
      <c r="J317" s="33">
        <v>0</v>
      </c>
      <c r="K317" s="33">
        <f t="shared" si="129"/>
        <v>12640</v>
      </c>
      <c r="L317" s="32">
        <v>0</v>
      </c>
      <c r="M317" s="32">
        <v>0</v>
      </c>
      <c r="N317" s="33">
        <f t="shared" si="130"/>
        <v>12640</v>
      </c>
      <c r="O317" s="33">
        <v>12721.24</v>
      </c>
      <c r="P317" s="33">
        <f>-2289-2391</f>
        <v>-4680</v>
      </c>
      <c r="Q317" s="33">
        <v>0</v>
      </c>
      <c r="R317" s="31">
        <f>O317+P317+Q317</f>
        <v>8041.24</v>
      </c>
      <c r="S317" s="34">
        <v>0</v>
      </c>
      <c r="T317" s="35">
        <f>2133</f>
        <v>2133</v>
      </c>
      <c r="U317" s="35">
        <f t="shared" si="128"/>
        <v>10174.24</v>
      </c>
      <c r="V317" s="34">
        <v>9774.24</v>
      </c>
      <c r="W317" s="34">
        <f>-1830-2400</f>
        <v>-4230</v>
      </c>
      <c r="X317" s="35">
        <v>0</v>
      </c>
      <c r="Y317" s="34">
        <v>0</v>
      </c>
      <c r="Z317" s="35">
        <f t="shared" si="115"/>
        <v>5544.24</v>
      </c>
      <c r="AA317" s="35">
        <v>0</v>
      </c>
      <c r="AB317" s="35">
        <f>-300-1087+1748</f>
        <v>361</v>
      </c>
      <c r="AC317" s="27">
        <f t="shared" si="120"/>
        <v>5905.24</v>
      </c>
      <c r="AD317" s="26">
        <v>-2300</v>
      </c>
      <c r="AE317" s="26">
        <v>0</v>
      </c>
      <c r="AF317" s="26">
        <f t="shared" si="131"/>
        <v>3605.24</v>
      </c>
      <c r="AG317" s="34">
        <f>-3605.24</f>
        <v>-3605.24</v>
      </c>
      <c r="AH317" s="34">
        <v>0</v>
      </c>
      <c r="AI317" s="34">
        <f t="shared" si="132"/>
        <v>0</v>
      </c>
    </row>
    <row r="318" spans="1:35" ht="25.5" x14ac:dyDescent="0.25">
      <c r="A318" s="28" t="s">
        <v>368</v>
      </c>
      <c r="B318" s="141"/>
      <c r="C318" s="32">
        <v>3512</v>
      </c>
      <c r="D318" s="32">
        <v>5712</v>
      </c>
      <c r="E318" s="33">
        <v>0</v>
      </c>
      <c r="F318" s="33">
        <v>0</v>
      </c>
      <c r="G318" s="33">
        <f>D318+E318+F318-550</f>
        <v>5162</v>
      </c>
      <c r="H318" s="32">
        <v>0</v>
      </c>
      <c r="I318" s="33">
        <v>0</v>
      </c>
      <c r="J318" s="33">
        <v>0</v>
      </c>
      <c r="K318" s="33">
        <f t="shared" si="129"/>
        <v>5162</v>
      </c>
      <c r="L318" s="32">
        <v>0</v>
      </c>
      <c r="M318" s="32">
        <v>0</v>
      </c>
      <c r="N318" s="33">
        <f t="shared" si="130"/>
        <v>5162</v>
      </c>
      <c r="O318" s="33">
        <v>6262</v>
      </c>
      <c r="P318" s="33">
        <v>0</v>
      </c>
      <c r="Q318" s="33">
        <v>0</v>
      </c>
      <c r="R318" s="31">
        <f>O318+P318+Q318</f>
        <v>6262</v>
      </c>
      <c r="S318" s="34">
        <v>0</v>
      </c>
      <c r="T318" s="35">
        <v>0</v>
      </c>
      <c r="U318" s="35">
        <f t="shared" si="128"/>
        <v>6262</v>
      </c>
      <c r="V318" s="34">
        <v>7362</v>
      </c>
      <c r="W318" s="34">
        <f>-221.4</f>
        <v>-221.4</v>
      </c>
      <c r="X318" s="35">
        <v>0</v>
      </c>
      <c r="Y318" s="34">
        <v>0</v>
      </c>
      <c r="Z318" s="35">
        <f>SUM(V318:Y318)</f>
        <v>7140.6</v>
      </c>
      <c r="AA318" s="35">
        <v>0</v>
      </c>
      <c r="AB318" s="35">
        <f>-242</f>
        <v>-242</v>
      </c>
      <c r="AC318" s="27">
        <f t="shared" si="120"/>
        <v>6898.6</v>
      </c>
      <c r="AD318" s="26">
        <v>0</v>
      </c>
      <c r="AE318" s="26">
        <f>-1960</f>
        <v>-1960</v>
      </c>
      <c r="AF318" s="26">
        <f>SUM(AC318:AE318)-100</f>
        <v>4838.6000000000004</v>
      </c>
      <c r="AG318" s="34">
        <f>-4838.6</f>
        <v>-4838.6000000000004</v>
      </c>
      <c r="AH318" s="34">
        <v>0</v>
      </c>
      <c r="AI318" s="34">
        <f t="shared" si="132"/>
        <v>0</v>
      </c>
    </row>
    <row r="319" spans="1:35" ht="15.75" thickBot="1" x14ac:dyDescent="0.3">
      <c r="A319" s="164" t="s">
        <v>369</v>
      </c>
      <c r="B319" s="147"/>
      <c r="C319" s="41">
        <v>0</v>
      </c>
      <c r="D319" s="41">
        <v>0</v>
      </c>
      <c r="E319" s="42">
        <v>0</v>
      </c>
      <c r="F319" s="42">
        <v>0</v>
      </c>
      <c r="G319" s="42">
        <f>D319+E319+F319</f>
        <v>0</v>
      </c>
      <c r="H319" s="41">
        <v>0</v>
      </c>
      <c r="I319" s="42">
        <v>0</v>
      </c>
      <c r="J319" s="42">
        <v>0</v>
      </c>
      <c r="K319" s="42">
        <f t="shared" si="129"/>
        <v>0</v>
      </c>
      <c r="L319" s="41">
        <v>0</v>
      </c>
      <c r="M319" s="41">
        <v>0</v>
      </c>
      <c r="N319" s="42">
        <f t="shared" si="130"/>
        <v>0</v>
      </c>
      <c r="O319" s="42">
        <v>0</v>
      </c>
      <c r="P319" s="42">
        <v>0</v>
      </c>
      <c r="Q319" s="42">
        <v>0</v>
      </c>
      <c r="R319" s="39">
        <f>O319+P319+Q319</f>
        <v>0</v>
      </c>
      <c r="S319" s="44">
        <v>0</v>
      </c>
      <c r="T319" s="45">
        <v>0</v>
      </c>
      <c r="U319" s="45">
        <f t="shared" si="128"/>
        <v>0</v>
      </c>
      <c r="V319" s="44">
        <v>0</v>
      </c>
      <c r="W319" s="44">
        <f>V319-U319</f>
        <v>0</v>
      </c>
      <c r="X319" s="45">
        <v>0</v>
      </c>
      <c r="Y319" s="44">
        <v>0</v>
      </c>
      <c r="Z319" s="45">
        <f t="shared" si="115"/>
        <v>0</v>
      </c>
      <c r="AA319" s="45">
        <f t="shared" si="115"/>
        <v>0</v>
      </c>
      <c r="AB319" s="45">
        <v>0</v>
      </c>
      <c r="AC319" s="45">
        <f t="shared" si="120"/>
        <v>0</v>
      </c>
      <c r="AD319" s="44">
        <v>0</v>
      </c>
      <c r="AE319" s="44">
        <v>0</v>
      </c>
      <c r="AF319" s="44">
        <f t="shared" si="131"/>
        <v>0</v>
      </c>
      <c r="AG319" s="44">
        <v>0</v>
      </c>
      <c r="AH319" s="44">
        <v>0</v>
      </c>
      <c r="AI319" s="34">
        <f t="shared" si="132"/>
        <v>0</v>
      </c>
    </row>
    <row r="320" spans="1:35" ht="15.75" thickBot="1" x14ac:dyDescent="0.3">
      <c r="A320" s="165" t="s">
        <v>95</v>
      </c>
      <c r="B320" s="155"/>
      <c r="C320" s="183">
        <f>C322+C323+C324+C325</f>
        <v>53588.28</v>
      </c>
      <c r="D320" s="183" t="e">
        <f>D322+D323+D324+#REF!+D325</f>
        <v>#REF!</v>
      </c>
      <c r="E320" s="183" t="e">
        <f>E322+E323+E324+#REF!+E325</f>
        <v>#REF!</v>
      </c>
      <c r="F320" s="183" t="e">
        <f>F322+F323+F324+#REF!+F325</f>
        <v>#REF!</v>
      </c>
      <c r="G320" s="183" t="e">
        <f>G322+G323+G324+#REF!+G325</f>
        <v>#REF!</v>
      </c>
      <c r="H320" s="183" t="e">
        <f>H322+H323+H324+#REF!+H325</f>
        <v>#REF!</v>
      </c>
      <c r="I320" s="183" t="e">
        <f>I322+I323+I324+#REF!+I325</f>
        <v>#REF!</v>
      </c>
      <c r="J320" s="183" t="e">
        <f>J322+J323+J324+#REF!+J325</f>
        <v>#REF!</v>
      </c>
      <c r="K320" s="187" t="e">
        <f>K322+K323+K324+#REF!+K325</f>
        <v>#REF!</v>
      </c>
      <c r="L320" s="159" t="e">
        <f>L322+L323+L324+#REF!+L325</f>
        <v>#REF!</v>
      </c>
      <c r="M320" s="159" t="e">
        <f>M322+M323+M324+#REF!+M325</f>
        <v>#REF!</v>
      </c>
      <c r="N320" s="156" t="e">
        <f>N322+N323+N324+#REF!+N325</f>
        <v>#REF!</v>
      </c>
      <c r="O320" s="156" t="e">
        <f>O322+O323+O324+#REF!+O325</f>
        <v>#REF!</v>
      </c>
      <c r="P320" s="156" t="e">
        <f>P322+P323+P324+#REF!+P325</f>
        <v>#REF!</v>
      </c>
      <c r="Q320" s="156" t="e">
        <f>Q322+Q323+Q324+#REF!+Q325</f>
        <v>#REF!</v>
      </c>
      <c r="R320" s="156" t="e">
        <f>R322+R323+R324+#REF!+R325</f>
        <v>#REF!</v>
      </c>
      <c r="S320" s="128">
        <f t="shared" ref="S320:X320" si="133">SUM(S322:S325)</f>
        <v>-1321</v>
      </c>
      <c r="T320" s="129">
        <f t="shared" si="133"/>
        <v>-939.21</v>
      </c>
      <c r="U320" s="129">
        <f t="shared" si="133"/>
        <v>11040.01</v>
      </c>
      <c r="V320" s="128">
        <f t="shared" si="133"/>
        <v>4073.9</v>
      </c>
      <c r="W320" s="128">
        <f t="shared" si="133"/>
        <v>2045.8600000000001</v>
      </c>
      <c r="X320" s="129">
        <f t="shared" si="133"/>
        <v>0</v>
      </c>
      <c r="Y320" s="128">
        <f>SUM(Y322:Y325)</f>
        <v>7</v>
      </c>
      <c r="Z320" s="182">
        <f>SUM(V320:Y320)</f>
        <v>6126.76</v>
      </c>
      <c r="AA320" s="182">
        <f>SUM(AA322:AA325)</f>
        <v>-2272.9</v>
      </c>
      <c r="AB320" s="182">
        <f>SUM(AB322:AB325)</f>
        <v>391</v>
      </c>
      <c r="AC320" s="129">
        <f t="shared" si="120"/>
        <v>4244.8600000000006</v>
      </c>
      <c r="AD320" s="128">
        <f>SUM(AD321:AD325)</f>
        <v>-220</v>
      </c>
      <c r="AE320" s="128">
        <f>SUM(AE322:AE325)</f>
        <v>1087.8100000000002</v>
      </c>
      <c r="AF320" s="128">
        <f>SUM(AF321:AF325)</f>
        <v>5146.8200000000006</v>
      </c>
      <c r="AG320" s="128">
        <f>SUM(AG322:AG325)</f>
        <v>-1253</v>
      </c>
      <c r="AH320" s="128">
        <f>SUM(AH322:AH325)</f>
        <v>0</v>
      </c>
      <c r="AI320" s="128">
        <f>SUM(AF320:AH320)</f>
        <v>3893.8200000000006</v>
      </c>
    </row>
    <row r="321" spans="1:35" x14ac:dyDescent="0.25">
      <c r="A321" s="167" t="s">
        <v>59</v>
      </c>
      <c r="B321" s="137"/>
      <c r="C321" s="24"/>
      <c r="D321" s="24"/>
      <c r="E321" s="25"/>
      <c r="F321" s="25"/>
      <c r="G321" s="25"/>
      <c r="H321" s="24"/>
      <c r="I321" s="25"/>
      <c r="J321" s="25"/>
      <c r="K321" s="131"/>
      <c r="L321" s="132"/>
      <c r="M321" s="132"/>
      <c r="N321" s="131"/>
      <c r="O321" s="131"/>
      <c r="P321" s="131"/>
      <c r="Q321" s="131"/>
      <c r="R321" s="131"/>
      <c r="S321" s="26"/>
      <c r="T321" s="27"/>
      <c r="U321" s="27"/>
      <c r="V321" s="26"/>
      <c r="W321" s="26"/>
      <c r="X321" s="27"/>
      <c r="Y321" s="26"/>
      <c r="Z321" s="27"/>
      <c r="AA321" s="27"/>
      <c r="AB321" s="27"/>
      <c r="AC321" s="27"/>
      <c r="AD321" s="26"/>
      <c r="AE321" s="26"/>
      <c r="AF321" s="26"/>
      <c r="AG321" s="26"/>
      <c r="AH321" s="26"/>
      <c r="AI321" s="26"/>
    </row>
    <row r="322" spans="1:35" ht="14.25" customHeight="1" x14ac:dyDescent="0.25">
      <c r="A322" s="163" t="s">
        <v>370</v>
      </c>
      <c r="B322" s="141"/>
      <c r="C322" s="32">
        <v>0</v>
      </c>
      <c r="D322" s="32">
        <v>400</v>
      </c>
      <c r="E322" s="33">
        <v>0</v>
      </c>
      <c r="F322" s="33">
        <v>0</v>
      </c>
      <c r="G322" s="33">
        <f>D322+E322+F322</f>
        <v>400</v>
      </c>
      <c r="H322" s="32">
        <v>-400</v>
      </c>
      <c r="I322" s="33">
        <v>0</v>
      </c>
      <c r="J322" s="33">
        <v>0</v>
      </c>
      <c r="K322" s="33">
        <f>G322+H322+I322+J322</f>
        <v>0</v>
      </c>
      <c r="L322" s="32">
        <v>0</v>
      </c>
      <c r="M322" s="32">
        <v>0</v>
      </c>
      <c r="N322" s="33">
        <f>K322+L322+M322</f>
        <v>0</v>
      </c>
      <c r="O322" s="33">
        <v>400</v>
      </c>
      <c r="P322" s="33">
        <v>0</v>
      </c>
      <c r="Q322" s="33">
        <v>0</v>
      </c>
      <c r="R322" s="31">
        <f>O322+P322+Q322</f>
        <v>400</v>
      </c>
      <c r="S322" s="34">
        <v>-400</v>
      </c>
      <c r="T322" s="35">
        <v>0</v>
      </c>
      <c r="U322" s="35">
        <f>SUM(R322:T322)</f>
        <v>0</v>
      </c>
      <c r="V322" s="34">
        <v>700</v>
      </c>
      <c r="W322" s="34">
        <v>0</v>
      </c>
      <c r="X322" s="35">
        <v>0</v>
      </c>
      <c r="Y322" s="34">
        <v>0</v>
      </c>
      <c r="Z322" s="87">
        <f>SUM(V322:Y322)</f>
        <v>700</v>
      </c>
      <c r="AA322" s="87">
        <f>-700</f>
        <v>-700</v>
      </c>
      <c r="AB322" s="87">
        <v>0</v>
      </c>
      <c r="AC322" s="27">
        <f t="shared" si="120"/>
        <v>0</v>
      </c>
      <c r="AD322" s="26">
        <v>0</v>
      </c>
      <c r="AE322" s="26">
        <v>0</v>
      </c>
      <c r="AF322" s="26">
        <f>SUM(AC322:AE322)</f>
        <v>0</v>
      </c>
      <c r="AG322" s="34">
        <v>0</v>
      </c>
      <c r="AH322" s="34">
        <v>0</v>
      </c>
      <c r="AI322" s="34">
        <f>SUM(AF322:AH322)</f>
        <v>0</v>
      </c>
    </row>
    <row r="323" spans="1:35" ht="25.5" customHeight="1" x14ac:dyDescent="0.25">
      <c r="A323" s="28" t="s">
        <v>371</v>
      </c>
      <c r="B323" s="141"/>
      <c r="C323" s="32">
        <v>1820</v>
      </c>
      <c r="D323" s="32">
        <v>1820</v>
      </c>
      <c r="E323" s="33">
        <v>0</v>
      </c>
      <c r="F323" s="33">
        <v>0</v>
      </c>
      <c r="G323" s="33">
        <f>D323+E323+F323</f>
        <v>1820</v>
      </c>
      <c r="H323" s="32">
        <v>0</v>
      </c>
      <c r="I323" s="33">
        <v>0</v>
      </c>
      <c r="J323" s="33">
        <v>0</v>
      </c>
      <c r="K323" s="33">
        <f>G323+H323+I323+J323</f>
        <v>1820</v>
      </c>
      <c r="L323" s="32">
        <v>0</v>
      </c>
      <c r="M323" s="32">
        <v>0</v>
      </c>
      <c r="N323" s="33">
        <f>K323+L323+M323</f>
        <v>1820</v>
      </c>
      <c r="O323" s="33">
        <v>20</v>
      </c>
      <c r="P323" s="33">
        <v>0</v>
      </c>
      <c r="Q323" s="33">
        <v>0</v>
      </c>
      <c r="R323" s="31">
        <f>O323+P323+Q323</f>
        <v>20</v>
      </c>
      <c r="S323" s="32">
        <v>0</v>
      </c>
      <c r="T323" s="33">
        <v>0</v>
      </c>
      <c r="U323" s="33">
        <f>SUM(R323:T323)</f>
        <v>20</v>
      </c>
      <c r="V323" s="32">
        <v>20</v>
      </c>
      <c r="W323" s="32">
        <f>V323-U323</f>
        <v>0</v>
      </c>
      <c r="X323" s="33">
        <v>0</v>
      </c>
      <c r="Y323" s="32">
        <v>0</v>
      </c>
      <c r="Z323" s="31">
        <f t="shared" ref="Z323:AB346" si="134">SUM(V323:Y323)</f>
        <v>20</v>
      </c>
      <c r="AA323" s="31">
        <v>0</v>
      </c>
      <c r="AB323" s="31">
        <v>0</v>
      </c>
      <c r="AC323" s="25">
        <f t="shared" si="120"/>
        <v>20</v>
      </c>
      <c r="AD323" s="24">
        <v>0</v>
      </c>
      <c r="AE323" s="24">
        <v>0</v>
      </c>
      <c r="AF323" s="26">
        <f t="shared" ref="AF323" si="135">SUM(AC323:AE323)</f>
        <v>20</v>
      </c>
      <c r="AG323" s="34">
        <v>0</v>
      </c>
      <c r="AH323" s="34">
        <v>0</v>
      </c>
      <c r="AI323" s="34">
        <f t="shared" ref="AI323:AI324" si="136">SUM(AF323:AH323)</f>
        <v>20</v>
      </c>
    </row>
    <row r="324" spans="1:35" x14ac:dyDescent="0.25">
      <c r="A324" s="163" t="s">
        <v>360</v>
      </c>
      <c r="B324" s="141"/>
      <c r="C324" s="32">
        <v>39326.480000000003</v>
      </c>
      <c r="D324" s="32">
        <v>562.98</v>
      </c>
      <c r="E324" s="33">
        <f>421.8+45</f>
        <v>466.8</v>
      </c>
      <c r="F324" s="33">
        <f>26+400</f>
        <v>426</v>
      </c>
      <c r="G324" s="33">
        <f>D324+E324+F324+250</f>
        <v>1705.78</v>
      </c>
      <c r="H324" s="32">
        <v>0</v>
      </c>
      <c r="I324" s="33">
        <v>0</v>
      </c>
      <c r="J324" s="33">
        <v>-206</v>
      </c>
      <c r="K324" s="33">
        <f>G324+H324+I324+J324</f>
        <v>1499.78</v>
      </c>
      <c r="L324" s="32">
        <f>553.49-26</f>
        <v>527.49</v>
      </c>
      <c r="M324" s="32">
        <v>0</v>
      </c>
      <c r="N324" s="33">
        <f>K324+L324+M324</f>
        <v>2027.27</v>
      </c>
      <c r="O324" s="33">
        <v>3049.98</v>
      </c>
      <c r="P324" s="33">
        <f>1076.7+86+302.2+165.8-1226+343.39+168.76</f>
        <v>916.85</v>
      </c>
      <c r="Q324" s="33">
        <v>800</v>
      </c>
      <c r="R324" s="31">
        <f>O324+P324+Q324+216.1+142+202.27+253.32</f>
        <v>5580.52</v>
      </c>
      <c r="S324" s="34">
        <v>0</v>
      </c>
      <c r="T324" s="35">
        <f>-939.21</f>
        <v>-939.21</v>
      </c>
      <c r="U324" s="35">
        <f>SUM(R324:T324)</f>
        <v>4641.3100000000004</v>
      </c>
      <c r="V324" s="34">
        <v>860</v>
      </c>
      <c r="W324" s="34">
        <f>436.17+44.71+15+25+80.83+700</f>
        <v>1301.71</v>
      </c>
      <c r="X324" s="35">
        <v>0</v>
      </c>
      <c r="Y324" s="34">
        <f>7</f>
        <v>7</v>
      </c>
      <c r="Z324" s="87">
        <f t="shared" si="134"/>
        <v>2168.71</v>
      </c>
      <c r="AA324" s="87">
        <v>0</v>
      </c>
      <c r="AB324" s="87">
        <f>294+95+2</f>
        <v>391</v>
      </c>
      <c r="AC324" s="27">
        <f t="shared" si="120"/>
        <v>2559.71</v>
      </c>
      <c r="AD324" s="26">
        <v>0</v>
      </c>
      <c r="AE324" s="26">
        <f>291+221.69+494.66+80.46</f>
        <v>1087.8100000000002</v>
      </c>
      <c r="AF324" s="26">
        <f>SUM(AC324:AE324)-15.85</f>
        <v>3631.6700000000005</v>
      </c>
      <c r="AG324" s="34">
        <f>-700</f>
        <v>-700</v>
      </c>
      <c r="AH324" s="34">
        <v>0</v>
      </c>
      <c r="AI324" s="34">
        <f t="shared" si="136"/>
        <v>2931.6700000000005</v>
      </c>
    </row>
    <row r="325" spans="1:35" ht="25.5" customHeight="1" thickBot="1" x14ac:dyDescent="0.3">
      <c r="A325" s="36" t="s">
        <v>372</v>
      </c>
      <c r="B325" s="147"/>
      <c r="C325" s="41">
        <v>12441.8</v>
      </c>
      <c r="D325" s="41">
        <v>9102.7000000000007</v>
      </c>
      <c r="E325" s="42">
        <v>0</v>
      </c>
      <c r="F325" s="42">
        <f>210+5400+750</f>
        <v>6360</v>
      </c>
      <c r="G325" s="42">
        <f>D325+E325+F325</f>
        <v>15462.7</v>
      </c>
      <c r="H325" s="41">
        <v>1259</v>
      </c>
      <c r="I325" s="42">
        <v>0</v>
      </c>
      <c r="J325" s="42">
        <v>0</v>
      </c>
      <c r="K325" s="42">
        <f>G325+H325+I325+J325</f>
        <v>16721.7</v>
      </c>
      <c r="L325" s="41">
        <v>79</v>
      </c>
      <c r="M325" s="41">
        <f>265+118</f>
        <v>383</v>
      </c>
      <c r="N325" s="42">
        <f>K325+L325+M325</f>
        <v>17183.7</v>
      </c>
      <c r="O325" s="42">
        <f>491+6383.7</f>
        <v>6874.7</v>
      </c>
      <c r="P325" s="42">
        <f>124-421+150-895</f>
        <v>-1042</v>
      </c>
      <c r="Q325" s="42">
        <v>2208</v>
      </c>
      <c r="R325" s="38">
        <f>O325+P325+Q325-100-641</f>
        <v>7299.7</v>
      </c>
      <c r="S325" s="44">
        <v>-921</v>
      </c>
      <c r="T325" s="45">
        <v>0</v>
      </c>
      <c r="U325" s="42">
        <f>SUM(R325:T325)</f>
        <v>6378.7</v>
      </c>
      <c r="V325" s="44">
        <v>2493.9</v>
      </c>
      <c r="W325" s="44">
        <f>744.15</f>
        <v>744.15</v>
      </c>
      <c r="X325" s="45">
        <v>0</v>
      </c>
      <c r="Y325" s="44">
        <v>0</v>
      </c>
      <c r="Z325" s="181">
        <f t="shared" si="134"/>
        <v>3238.05</v>
      </c>
      <c r="AA325" s="181">
        <f>-1572.9</f>
        <v>-1572.9</v>
      </c>
      <c r="AB325" s="181">
        <v>0</v>
      </c>
      <c r="AC325" s="45">
        <f t="shared" si="120"/>
        <v>1665.15</v>
      </c>
      <c r="AD325" s="44">
        <v>-220</v>
      </c>
      <c r="AE325" s="44">
        <v>0</v>
      </c>
      <c r="AF325" s="44">
        <f>SUM(AC325:AE325)+50</f>
        <v>1495.15</v>
      </c>
      <c r="AG325" s="44">
        <f>-553</f>
        <v>-553</v>
      </c>
      <c r="AH325" s="44">
        <v>0</v>
      </c>
      <c r="AI325" s="34">
        <f>SUM(AF325:AH325)</f>
        <v>942.15000000000009</v>
      </c>
    </row>
    <row r="326" spans="1:35" ht="15.75" thickBot="1" x14ac:dyDescent="0.3">
      <c r="A326" s="165" t="s">
        <v>100</v>
      </c>
      <c r="B326" s="155"/>
      <c r="C326" s="183">
        <f>C328+C329</f>
        <v>184</v>
      </c>
      <c r="D326" s="183">
        <f>D328+D329</f>
        <v>0</v>
      </c>
      <c r="E326" s="183">
        <f>E328+E329</f>
        <v>0</v>
      </c>
      <c r="F326" s="183">
        <f>F328+F329</f>
        <v>0</v>
      </c>
      <c r="G326" s="187">
        <f>D326+E326+F326</f>
        <v>0</v>
      </c>
      <c r="H326" s="183">
        <f>H328+H329</f>
        <v>0</v>
      </c>
      <c r="I326" s="183">
        <f>I328+I329</f>
        <v>0</v>
      </c>
      <c r="J326" s="183">
        <f>J328+J329</f>
        <v>0</v>
      </c>
      <c r="K326" s="156">
        <f>G326+H326+I326+J326</f>
        <v>0</v>
      </c>
      <c r="L326" s="159">
        <f>L328+L329</f>
        <v>0</v>
      </c>
      <c r="M326" s="159">
        <f t="shared" ref="M326:R326" si="137">M328+M329</f>
        <v>0</v>
      </c>
      <c r="N326" s="156">
        <f t="shared" si="137"/>
        <v>0</v>
      </c>
      <c r="O326" s="156">
        <f t="shared" si="137"/>
        <v>0</v>
      </c>
      <c r="P326" s="156">
        <f t="shared" si="137"/>
        <v>0</v>
      </c>
      <c r="Q326" s="156">
        <f t="shared" si="137"/>
        <v>0</v>
      </c>
      <c r="R326" s="156">
        <f t="shared" si="137"/>
        <v>0</v>
      </c>
      <c r="S326" s="128">
        <f t="shared" ref="S326:X326" si="138">SUM(S328:S329)</f>
        <v>0</v>
      </c>
      <c r="T326" s="129">
        <f t="shared" si="138"/>
        <v>0</v>
      </c>
      <c r="U326" s="129">
        <f t="shared" si="138"/>
        <v>0</v>
      </c>
      <c r="V326" s="128">
        <f t="shared" si="138"/>
        <v>0</v>
      </c>
      <c r="W326" s="128">
        <f t="shared" si="138"/>
        <v>0</v>
      </c>
      <c r="X326" s="129">
        <f t="shared" si="138"/>
        <v>0</v>
      </c>
      <c r="Y326" s="128">
        <f>SUM(Y328:Y329)</f>
        <v>0</v>
      </c>
      <c r="Z326" s="182">
        <f t="shared" si="134"/>
        <v>0</v>
      </c>
      <c r="AA326" s="182">
        <f t="shared" si="134"/>
        <v>0</v>
      </c>
      <c r="AB326" s="182">
        <f>SUM(AB328:AB329)</f>
        <v>0</v>
      </c>
      <c r="AC326" s="129">
        <f t="shared" si="120"/>
        <v>0</v>
      </c>
      <c r="AD326" s="128">
        <f>SUM(AD328:AD329)</f>
        <v>0</v>
      </c>
      <c r="AE326" s="128">
        <f>SUM(AE328:AE329)</f>
        <v>0</v>
      </c>
      <c r="AF326" s="128">
        <f>SUM(AF328:AF329)</f>
        <v>0</v>
      </c>
      <c r="AG326" s="128">
        <f>SUM(AG328:AG329)</f>
        <v>0</v>
      </c>
      <c r="AH326" s="128">
        <f>SUM(AH328:AH329)</f>
        <v>0</v>
      </c>
      <c r="AI326" s="128">
        <f>SUM(AF326:AH326)</f>
        <v>0</v>
      </c>
    </row>
    <row r="327" spans="1:35" x14ac:dyDescent="0.25">
      <c r="A327" s="167" t="s">
        <v>59</v>
      </c>
      <c r="B327" s="137"/>
      <c r="C327" s="24"/>
      <c r="D327" s="24"/>
      <c r="E327" s="25"/>
      <c r="F327" s="25"/>
      <c r="G327" s="25"/>
      <c r="H327" s="24"/>
      <c r="I327" s="25"/>
      <c r="J327" s="25"/>
      <c r="K327" s="131"/>
      <c r="L327" s="132"/>
      <c r="M327" s="132"/>
      <c r="N327" s="131"/>
      <c r="O327" s="131"/>
      <c r="P327" s="131"/>
      <c r="Q327" s="131"/>
      <c r="R327" s="131"/>
      <c r="S327" s="26"/>
      <c r="T327" s="27"/>
      <c r="U327" s="27"/>
      <c r="V327" s="26"/>
      <c r="W327" s="26"/>
      <c r="X327" s="27"/>
      <c r="Y327" s="26"/>
      <c r="Z327" s="74"/>
      <c r="AA327" s="74"/>
      <c r="AB327" s="74"/>
      <c r="AC327" s="27"/>
      <c r="AD327" s="26"/>
      <c r="AE327" s="26"/>
      <c r="AF327" s="26"/>
      <c r="AG327" s="26"/>
      <c r="AH327" s="26"/>
      <c r="AI327" s="26"/>
    </row>
    <row r="328" spans="1:35" x14ac:dyDescent="0.25">
      <c r="A328" s="163" t="s">
        <v>360</v>
      </c>
      <c r="B328" s="141"/>
      <c r="C328" s="32">
        <v>184</v>
      </c>
      <c r="D328" s="32">
        <v>0</v>
      </c>
      <c r="E328" s="33">
        <v>0</v>
      </c>
      <c r="F328" s="33">
        <v>0</v>
      </c>
      <c r="G328" s="33">
        <f>D328+E328+F328</f>
        <v>0</v>
      </c>
      <c r="H328" s="32">
        <v>0</v>
      </c>
      <c r="I328" s="33">
        <v>0</v>
      </c>
      <c r="J328" s="33">
        <v>0</v>
      </c>
      <c r="K328" s="33">
        <f>G328+H328+I328+J328</f>
        <v>0</v>
      </c>
      <c r="L328" s="32">
        <v>0</v>
      </c>
      <c r="M328" s="32">
        <v>0</v>
      </c>
      <c r="N328" s="33">
        <f>K328+L328+M328</f>
        <v>0</v>
      </c>
      <c r="O328" s="33">
        <v>0</v>
      </c>
      <c r="P328" s="33">
        <v>0</v>
      </c>
      <c r="Q328" s="33">
        <v>0</v>
      </c>
      <c r="R328" s="31">
        <f>O328+P328+Q328</f>
        <v>0</v>
      </c>
      <c r="S328" s="34">
        <v>0</v>
      </c>
      <c r="T328" s="35">
        <v>0</v>
      </c>
      <c r="U328" s="35">
        <f>SUM(R328:T328)</f>
        <v>0</v>
      </c>
      <c r="V328" s="34">
        <v>0</v>
      </c>
      <c r="W328" s="34">
        <f>V328-U328</f>
        <v>0</v>
      </c>
      <c r="X328" s="35">
        <v>0</v>
      </c>
      <c r="Y328" s="34">
        <v>0</v>
      </c>
      <c r="Z328" s="87">
        <f t="shared" si="134"/>
        <v>0</v>
      </c>
      <c r="AA328" s="87">
        <f t="shared" si="134"/>
        <v>0</v>
      </c>
      <c r="AB328" s="87">
        <v>0</v>
      </c>
      <c r="AC328" s="27">
        <f t="shared" si="120"/>
        <v>0</v>
      </c>
      <c r="AD328" s="26">
        <v>0</v>
      </c>
      <c r="AE328" s="26">
        <v>0</v>
      </c>
      <c r="AF328" s="26">
        <f>SUM(AC328:AE328)</f>
        <v>0</v>
      </c>
      <c r="AG328" s="34">
        <v>0</v>
      </c>
      <c r="AH328" s="34">
        <v>0</v>
      </c>
      <c r="AI328" s="34">
        <f>SUM(AF328:AH328)</f>
        <v>0</v>
      </c>
    </row>
    <row r="329" spans="1:35" ht="15.75" thickBot="1" x14ac:dyDescent="0.3">
      <c r="A329" s="164" t="s">
        <v>373</v>
      </c>
      <c r="B329" s="147"/>
      <c r="C329" s="41">
        <v>0</v>
      </c>
      <c r="D329" s="41">
        <v>0</v>
      </c>
      <c r="E329" s="42">
        <v>0</v>
      </c>
      <c r="F329" s="42">
        <v>0</v>
      </c>
      <c r="G329" s="42">
        <f>D329+E329+F329</f>
        <v>0</v>
      </c>
      <c r="H329" s="41">
        <v>0</v>
      </c>
      <c r="I329" s="42">
        <v>0</v>
      </c>
      <c r="J329" s="42">
        <v>0</v>
      </c>
      <c r="K329" s="42">
        <f>G329+H329+I329+J329</f>
        <v>0</v>
      </c>
      <c r="L329" s="41">
        <v>0</v>
      </c>
      <c r="M329" s="41">
        <v>0</v>
      </c>
      <c r="N329" s="42">
        <f>K329+L329+M329</f>
        <v>0</v>
      </c>
      <c r="O329" s="42">
        <v>0</v>
      </c>
      <c r="P329" s="42">
        <v>0</v>
      </c>
      <c r="Q329" s="42">
        <v>0</v>
      </c>
      <c r="R329" s="39">
        <f>O329+P329+Q329</f>
        <v>0</v>
      </c>
      <c r="S329" s="44">
        <v>0</v>
      </c>
      <c r="T329" s="45">
        <v>0</v>
      </c>
      <c r="U329" s="45">
        <f>SUM(R329:T329)</f>
        <v>0</v>
      </c>
      <c r="V329" s="44">
        <v>0</v>
      </c>
      <c r="W329" s="44">
        <f>V329-U329</f>
        <v>0</v>
      </c>
      <c r="X329" s="45">
        <v>0</v>
      </c>
      <c r="Y329" s="44">
        <v>0</v>
      </c>
      <c r="Z329" s="181">
        <f t="shared" si="134"/>
        <v>0</v>
      </c>
      <c r="AA329" s="181">
        <f t="shared" si="134"/>
        <v>0</v>
      </c>
      <c r="AB329" s="181">
        <f t="shared" si="134"/>
        <v>0</v>
      </c>
      <c r="AC329" s="45">
        <f t="shared" si="120"/>
        <v>0</v>
      </c>
      <c r="AD329" s="44">
        <v>0</v>
      </c>
      <c r="AE329" s="47">
        <v>0</v>
      </c>
      <c r="AF329" s="47">
        <f>SUM(AC329:AE329)</f>
        <v>0</v>
      </c>
      <c r="AG329" s="44">
        <v>0</v>
      </c>
      <c r="AH329" s="44">
        <v>0</v>
      </c>
      <c r="AI329" s="34">
        <f>SUM(AF329:AH329)</f>
        <v>0</v>
      </c>
    </row>
    <row r="330" spans="1:35" ht="15.75" thickBot="1" x14ac:dyDescent="0.3">
      <c r="A330" s="165" t="s">
        <v>103</v>
      </c>
      <c r="B330" s="155"/>
      <c r="C330" s="183">
        <f t="shared" ref="C330:J330" si="139">SUM(C332:C339)</f>
        <v>4342</v>
      </c>
      <c r="D330" s="183">
        <f t="shared" si="139"/>
        <v>510</v>
      </c>
      <c r="E330" s="183">
        <f t="shared" si="139"/>
        <v>120</v>
      </c>
      <c r="F330" s="183">
        <f t="shared" si="139"/>
        <v>10050</v>
      </c>
      <c r="G330" s="183">
        <f t="shared" si="139"/>
        <v>10830</v>
      </c>
      <c r="H330" s="183">
        <f t="shared" si="139"/>
        <v>400</v>
      </c>
      <c r="I330" s="183">
        <f t="shared" si="139"/>
        <v>0</v>
      </c>
      <c r="J330" s="183">
        <f t="shared" si="139"/>
        <v>440</v>
      </c>
      <c r="K330" s="156">
        <f>G330+H330+I330+J330</f>
        <v>11670</v>
      </c>
      <c r="L330" s="159" t="e">
        <f>L332+L333+#REF!+L337+#REF!+#REF!+#REF!+#REF!+#REF!+L339</f>
        <v>#REF!</v>
      </c>
      <c r="M330" s="159" t="e">
        <f>M332+M333+#REF!+M337+#REF!+#REF!+#REF!+#REF!+#REF!+M339</f>
        <v>#REF!</v>
      </c>
      <c r="N330" s="156" t="e">
        <f>N332+N333+#REF!+N337+#REF!+#REF!+#REF!+#REF!+#REF!+N339</f>
        <v>#REF!</v>
      </c>
      <c r="O330" s="156">
        <f>O332+O333+O337+O339</f>
        <v>12000</v>
      </c>
      <c r="P330" s="156">
        <f>P332+P333+P337+P339</f>
        <v>645</v>
      </c>
      <c r="Q330" s="156">
        <f>Q332+Q333+Q337+Q339</f>
        <v>8720</v>
      </c>
      <c r="R330" s="156">
        <f>R332+R333+R337+R339</f>
        <v>21015</v>
      </c>
      <c r="S330" s="128">
        <f t="shared" ref="S330:Y330" si="140">SUM(S332:S339)</f>
        <v>-900</v>
      </c>
      <c r="T330" s="129">
        <f t="shared" si="140"/>
        <v>-330</v>
      </c>
      <c r="U330" s="129">
        <f t="shared" si="140"/>
        <v>19785</v>
      </c>
      <c r="V330" s="128">
        <f t="shared" si="140"/>
        <v>17820</v>
      </c>
      <c r="W330" s="128">
        <f t="shared" si="140"/>
        <v>3700</v>
      </c>
      <c r="X330" s="129">
        <f t="shared" si="140"/>
        <v>0</v>
      </c>
      <c r="Y330" s="128">
        <f t="shared" si="140"/>
        <v>0</v>
      </c>
      <c r="Z330" s="182">
        <f t="shared" si="134"/>
        <v>21520</v>
      </c>
      <c r="AA330" s="182">
        <f>SUM(AA332:AA339)</f>
        <v>-60</v>
      </c>
      <c r="AB330" s="182">
        <f>SUM(AB332:AB339)</f>
        <v>175</v>
      </c>
      <c r="AC330" s="129">
        <f t="shared" si="120"/>
        <v>21635</v>
      </c>
      <c r="AD330" s="128">
        <f>SUM(AD332:AD339)</f>
        <v>100</v>
      </c>
      <c r="AE330" s="128">
        <f>SUM(AE332:AE339)</f>
        <v>0</v>
      </c>
      <c r="AF330" s="128">
        <f>SUM(AF332:AF339)</f>
        <v>21735</v>
      </c>
      <c r="AG330" s="128">
        <f>SUM(AG332:AG339)</f>
        <v>0</v>
      </c>
      <c r="AH330" s="128">
        <f>SUM(AH332:AH339)</f>
        <v>-6.5</v>
      </c>
      <c r="AI330" s="128">
        <f>SUM(AF330:AH330)</f>
        <v>21728.5</v>
      </c>
    </row>
    <row r="331" spans="1:35" ht="14.25" customHeight="1" x14ac:dyDescent="0.25">
      <c r="A331" s="167" t="s">
        <v>59</v>
      </c>
      <c r="B331" s="137"/>
      <c r="C331" s="24"/>
      <c r="D331" s="24"/>
      <c r="E331" s="25"/>
      <c r="F331" s="25"/>
      <c r="G331" s="25"/>
      <c r="H331" s="24"/>
      <c r="I331" s="25"/>
      <c r="J331" s="25"/>
      <c r="K331" s="131"/>
      <c r="L331" s="132"/>
      <c r="M331" s="132"/>
      <c r="N331" s="131"/>
      <c r="O331" s="131"/>
      <c r="P331" s="131"/>
      <c r="Q331" s="131"/>
      <c r="R331" s="131"/>
      <c r="S331" s="26"/>
      <c r="T331" s="27"/>
      <c r="U331" s="27"/>
      <c r="V331" s="26"/>
      <c r="W331" s="26"/>
      <c r="X331" s="27"/>
      <c r="Y331" s="26"/>
      <c r="Z331" s="74"/>
      <c r="AA331" s="74"/>
      <c r="AB331" s="74"/>
      <c r="AC331" s="27"/>
      <c r="AD331" s="26"/>
      <c r="AE331" s="26"/>
      <c r="AF331" s="26"/>
      <c r="AG331" s="26"/>
      <c r="AH331" s="26"/>
      <c r="AI331" s="26"/>
    </row>
    <row r="332" spans="1:35" ht="15" customHeight="1" x14ac:dyDescent="0.25">
      <c r="A332" s="163" t="s">
        <v>374</v>
      </c>
      <c r="B332" s="141"/>
      <c r="C332" s="32">
        <v>0</v>
      </c>
      <c r="D332" s="32">
        <v>0</v>
      </c>
      <c r="E332" s="33">
        <v>0</v>
      </c>
      <c r="F332" s="33">
        <v>0</v>
      </c>
      <c r="G332" s="33">
        <f>D332+E332+F332</f>
        <v>0</v>
      </c>
      <c r="H332" s="32">
        <v>0</v>
      </c>
      <c r="I332" s="33">
        <v>0</v>
      </c>
      <c r="J332" s="33">
        <v>0</v>
      </c>
      <c r="K332" s="33">
        <f>G332+H332+I332+J332</f>
        <v>0</v>
      </c>
      <c r="L332" s="32">
        <v>0</v>
      </c>
      <c r="M332" s="223">
        <v>0</v>
      </c>
      <c r="N332" s="33">
        <f>K332+L332+M332</f>
        <v>0</v>
      </c>
      <c r="O332" s="33">
        <v>0</v>
      </c>
      <c r="P332" s="33">
        <v>0</v>
      </c>
      <c r="Q332" s="33">
        <v>0</v>
      </c>
      <c r="R332" s="31">
        <f>O332+P332+Q332</f>
        <v>0</v>
      </c>
      <c r="S332" s="34">
        <v>0</v>
      </c>
      <c r="T332" s="35">
        <v>0</v>
      </c>
      <c r="U332" s="35">
        <f>SUM(R332:T332)</f>
        <v>0</v>
      </c>
      <c r="V332" s="34">
        <v>0</v>
      </c>
      <c r="W332" s="34">
        <f>V332-U332</f>
        <v>0</v>
      </c>
      <c r="X332" s="35">
        <v>0</v>
      </c>
      <c r="Y332" s="34">
        <v>0</v>
      </c>
      <c r="Z332" s="87">
        <f t="shared" si="134"/>
        <v>0</v>
      </c>
      <c r="AA332" s="87">
        <f t="shared" si="134"/>
        <v>0</v>
      </c>
      <c r="AB332" s="87">
        <v>100</v>
      </c>
      <c r="AC332" s="27">
        <f t="shared" si="120"/>
        <v>100</v>
      </c>
      <c r="AD332" s="26">
        <v>0</v>
      </c>
      <c r="AE332" s="26">
        <v>0</v>
      </c>
      <c r="AF332" s="26">
        <f>SUM(AC332:AE332)</f>
        <v>100</v>
      </c>
      <c r="AG332" s="34">
        <v>0</v>
      </c>
      <c r="AH332" s="34">
        <f>-6.5</f>
        <v>-6.5</v>
      </c>
      <c r="AI332" s="34">
        <f>SUM(AF332:AH332)</f>
        <v>93.5</v>
      </c>
    </row>
    <row r="333" spans="1:35" ht="15" customHeight="1" x14ac:dyDescent="0.25">
      <c r="A333" s="163" t="s">
        <v>360</v>
      </c>
      <c r="B333" s="141"/>
      <c r="C333" s="32">
        <v>4342</v>
      </c>
      <c r="D333" s="32">
        <v>350</v>
      </c>
      <c r="E333" s="33">
        <v>120</v>
      </c>
      <c r="F333" s="33">
        <f>2500+2550</f>
        <v>5050</v>
      </c>
      <c r="G333" s="33">
        <f>D333+E333+F333+150</f>
        <v>5670</v>
      </c>
      <c r="H333" s="32">
        <v>400</v>
      </c>
      <c r="I333" s="33">
        <v>0</v>
      </c>
      <c r="J333" s="33">
        <v>440</v>
      </c>
      <c r="K333" s="33">
        <f>G333+H333+I333+J333</f>
        <v>6510</v>
      </c>
      <c r="L333" s="32">
        <v>0</v>
      </c>
      <c r="M333" s="32">
        <v>0</v>
      </c>
      <c r="N333" s="33">
        <f>K333+L333+M333</f>
        <v>6510</v>
      </c>
      <c r="O333" s="33">
        <v>0</v>
      </c>
      <c r="P333" s="33">
        <f>250+220+175</f>
        <v>645</v>
      </c>
      <c r="Q333" s="33">
        <v>3720</v>
      </c>
      <c r="R333" s="31">
        <f>O333+P333+Q333-350</f>
        <v>4015</v>
      </c>
      <c r="S333" s="34">
        <v>-900</v>
      </c>
      <c r="T333" s="35">
        <f>-330</f>
        <v>-330</v>
      </c>
      <c r="U333" s="35">
        <f>SUM(R333:T333)</f>
        <v>2785</v>
      </c>
      <c r="V333" s="34">
        <v>820</v>
      </c>
      <c r="W333" s="34">
        <f>100+3600</f>
        <v>3700</v>
      </c>
      <c r="X333" s="35">
        <v>0</v>
      </c>
      <c r="Y333" s="34">
        <v>0</v>
      </c>
      <c r="Z333" s="87">
        <f t="shared" si="134"/>
        <v>4520</v>
      </c>
      <c r="AA333" s="87">
        <f>-150</f>
        <v>-150</v>
      </c>
      <c r="AB333" s="87">
        <f>-200</f>
        <v>-200</v>
      </c>
      <c r="AC333" s="27">
        <f t="shared" si="120"/>
        <v>4170</v>
      </c>
      <c r="AD333" s="26">
        <v>-300</v>
      </c>
      <c r="AE333" s="26">
        <v>0</v>
      </c>
      <c r="AF333" s="26">
        <f t="shared" ref="AF333:AF338" si="141">SUM(AC333:AE333)</f>
        <v>3870</v>
      </c>
      <c r="AG333" s="34">
        <v>0</v>
      </c>
      <c r="AH333" s="34">
        <v>0</v>
      </c>
      <c r="AI333" s="34">
        <f t="shared" ref="AI333:AI339" si="142">SUM(AF333:AH333)</f>
        <v>3870</v>
      </c>
    </row>
    <row r="334" spans="1:35" ht="25.5" customHeight="1" x14ac:dyDescent="0.25">
      <c r="A334" s="28" t="s">
        <v>375</v>
      </c>
      <c r="B334" s="141" t="s">
        <v>88</v>
      </c>
      <c r="C334" s="32"/>
      <c r="D334" s="32"/>
      <c r="E334" s="33"/>
      <c r="F334" s="33"/>
      <c r="G334" s="33"/>
      <c r="H334" s="32"/>
      <c r="I334" s="33"/>
      <c r="J334" s="33"/>
      <c r="K334" s="33"/>
      <c r="L334" s="32"/>
      <c r="M334" s="32"/>
      <c r="N334" s="33"/>
      <c r="O334" s="33"/>
      <c r="P334" s="33"/>
      <c r="Q334" s="33"/>
      <c r="R334" s="31"/>
      <c r="S334" s="34"/>
      <c r="T334" s="35"/>
      <c r="U334" s="35"/>
      <c r="V334" s="34">
        <v>0</v>
      </c>
      <c r="W334" s="34"/>
      <c r="X334" s="35"/>
      <c r="Y334" s="34"/>
      <c r="Z334" s="87"/>
      <c r="AA334" s="87"/>
      <c r="AB334" s="87"/>
      <c r="AC334" s="27">
        <v>0</v>
      </c>
      <c r="AD334" s="26">
        <v>100</v>
      </c>
      <c r="AE334" s="26">
        <v>0</v>
      </c>
      <c r="AF334" s="26">
        <f t="shared" si="141"/>
        <v>100</v>
      </c>
      <c r="AG334" s="34">
        <v>0</v>
      </c>
      <c r="AH334" s="34">
        <v>0</v>
      </c>
      <c r="AI334" s="34">
        <f t="shared" si="142"/>
        <v>100</v>
      </c>
    </row>
    <row r="335" spans="1:35" ht="25.5" customHeight="1" x14ac:dyDescent="0.25">
      <c r="A335" s="28" t="s">
        <v>376</v>
      </c>
      <c r="B335" s="141" t="s">
        <v>88</v>
      </c>
      <c r="C335" s="32"/>
      <c r="D335" s="32"/>
      <c r="E335" s="33"/>
      <c r="F335" s="33"/>
      <c r="G335" s="33"/>
      <c r="H335" s="32"/>
      <c r="I335" s="33"/>
      <c r="J335" s="33"/>
      <c r="K335" s="33"/>
      <c r="L335" s="32"/>
      <c r="M335" s="32"/>
      <c r="N335" s="33"/>
      <c r="O335" s="33"/>
      <c r="P335" s="33"/>
      <c r="Q335" s="33"/>
      <c r="R335" s="31"/>
      <c r="S335" s="34"/>
      <c r="T335" s="35"/>
      <c r="U335" s="35"/>
      <c r="V335" s="34">
        <v>0</v>
      </c>
      <c r="W335" s="34"/>
      <c r="X335" s="35"/>
      <c r="Y335" s="34"/>
      <c r="Z335" s="87"/>
      <c r="AA335" s="87"/>
      <c r="AB335" s="87"/>
      <c r="AC335" s="27">
        <v>0</v>
      </c>
      <c r="AD335" s="26">
        <v>300</v>
      </c>
      <c r="AE335" s="26">
        <v>0</v>
      </c>
      <c r="AF335" s="26">
        <f t="shared" si="141"/>
        <v>300</v>
      </c>
      <c r="AG335" s="34">
        <v>0</v>
      </c>
      <c r="AH335" s="34">
        <v>0</v>
      </c>
      <c r="AI335" s="34">
        <f t="shared" si="142"/>
        <v>300</v>
      </c>
    </row>
    <row r="336" spans="1:35" ht="28.5" customHeight="1" x14ac:dyDescent="0.25">
      <c r="A336" s="28" t="s">
        <v>377</v>
      </c>
      <c r="B336" s="141" t="s">
        <v>88</v>
      </c>
      <c r="C336" s="32"/>
      <c r="D336" s="32"/>
      <c r="E336" s="33"/>
      <c r="F336" s="33"/>
      <c r="G336" s="33"/>
      <c r="H336" s="32"/>
      <c r="I336" s="33"/>
      <c r="J336" s="33"/>
      <c r="K336" s="33"/>
      <c r="L336" s="32"/>
      <c r="M336" s="32"/>
      <c r="N336" s="33"/>
      <c r="O336" s="33"/>
      <c r="P336" s="33"/>
      <c r="Q336" s="33"/>
      <c r="R336" s="31"/>
      <c r="S336" s="34"/>
      <c r="T336" s="35"/>
      <c r="U336" s="35"/>
      <c r="V336" s="34">
        <v>0</v>
      </c>
      <c r="W336" s="34"/>
      <c r="X336" s="35"/>
      <c r="Y336" s="34"/>
      <c r="Z336" s="87">
        <v>0</v>
      </c>
      <c r="AA336" s="87">
        <f>90</f>
        <v>90</v>
      </c>
      <c r="AB336" s="87">
        <v>0</v>
      </c>
      <c r="AC336" s="27">
        <f t="shared" si="120"/>
        <v>90</v>
      </c>
      <c r="AD336" s="26">
        <v>0</v>
      </c>
      <c r="AE336" s="26">
        <v>0</v>
      </c>
      <c r="AF336" s="26">
        <f t="shared" si="141"/>
        <v>90</v>
      </c>
      <c r="AG336" s="34">
        <v>0</v>
      </c>
      <c r="AH336" s="34">
        <v>0</v>
      </c>
      <c r="AI336" s="34">
        <f t="shared" si="142"/>
        <v>90</v>
      </c>
    </row>
    <row r="337" spans="1:35" ht="38.25" customHeight="1" x14ac:dyDescent="0.25">
      <c r="A337" s="28" t="s">
        <v>378</v>
      </c>
      <c r="B337" s="224" t="s">
        <v>379</v>
      </c>
      <c r="C337" s="32"/>
      <c r="D337" s="32">
        <v>0</v>
      </c>
      <c r="E337" s="33">
        <v>0</v>
      </c>
      <c r="F337" s="33">
        <v>5000</v>
      </c>
      <c r="G337" s="33">
        <f>D337+E337+F337</f>
        <v>5000</v>
      </c>
      <c r="H337" s="32">
        <v>0</v>
      </c>
      <c r="I337" s="33">
        <v>0</v>
      </c>
      <c r="J337" s="33">
        <v>0</v>
      </c>
      <c r="K337" s="33">
        <f>G337+H337+I337+J337</f>
        <v>5000</v>
      </c>
      <c r="L337" s="32">
        <v>0</v>
      </c>
      <c r="M337" s="32">
        <v>0</v>
      </c>
      <c r="N337" s="33">
        <f>K337+L337+M337</f>
        <v>5000</v>
      </c>
      <c r="O337" s="33">
        <v>12000</v>
      </c>
      <c r="P337" s="33">
        <v>0</v>
      </c>
      <c r="Q337" s="33">
        <v>5000</v>
      </c>
      <c r="R337" s="31">
        <f>O337+P337+Q337</f>
        <v>17000</v>
      </c>
      <c r="S337" s="32">
        <v>0</v>
      </c>
      <c r="T337" s="33">
        <v>0</v>
      </c>
      <c r="U337" s="33">
        <f>SUM(R337:T337)</f>
        <v>17000</v>
      </c>
      <c r="V337" s="34">
        <v>17000</v>
      </c>
      <c r="W337" s="34">
        <f>V337-U337</f>
        <v>0</v>
      </c>
      <c r="X337" s="35">
        <v>0</v>
      </c>
      <c r="Y337" s="34">
        <v>0</v>
      </c>
      <c r="Z337" s="87">
        <f t="shared" si="134"/>
        <v>17000</v>
      </c>
      <c r="AA337" s="87">
        <v>0</v>
      </c>
      <c r="AB337" s="87">
        <v>0</v>
      </c>
      <c r="AC337" s="27">
        <f t="shared" si="120"/>
        <v>17000</v>
      </c>
      <c r="AD337" s="26">
        <v>0</v>
      </c>
      <c r="AE337" s="26">
        <v>0</v>
      </c>
      <c r="AF337" s="26">
        <f t="shared" si="141"/>
        <v>17000</v>
      </c>
      <c r="AG337" s="34">
        <v>0</v>
      </c>
      <c r="AH337" s="34">
        <v>0</v>
      </c>
      <c r="AI337" s="34">
        <f>SUM(AF337:AH337)</f>
        <v>17000</v>
      </c>
    </row>
    <row r="338" spans="1:35" ht="15.75" customHeight="1" x14ac:dyDescent="0.25">
      <c r="A338" s="28" t="s">
        <v>380</v>
      </c>
      <c r="B338" s="224" t="s">
        <v>88</v>
      </c>
      <c r="C338" s="32"/>
      <c r="D338" s="32"/>
      <c r="E338" s="33"/>
      <c r="F338" s="33"/>
      <c r="G338" s="33"/>
      <c r="H338" s="32"/>
      <c r="I338" s="33"/>
      <c r="J338" s="33"/>
      <c r="K338" s="33"/>
      <c r="L338" s="32"/>
      <c r="M338" s="32"/>
      <c r="N338" s="33"/>
      <c r="O338" s="33"/>
      <c r="P338" s="33"/>
      <c r="Q338" s="33"/>
      <c r="R338" s="31"/>
      <c r="S338" s="32"/>
      <c r="T338" s="33"/>
      <c r="U338" s="33"/>
      <c r="V338" s="34">
        <v>0</v>
      </c>
      <c r="W338" s="34"/>
      <c r="X338" s="35"/>
      <c r="Y338" s="34"/>
      <c r="Z338" s="87">
        <v>0</v>
      </c>
      <c r="AA338" s="87">
        <v>0</v>
      </c>
      <c r="AB338" s="87">
        <f>275</f>
        <v>275</v>
      </c>
      <c r="AC338" s="27">
        <f>Z338+AA338+AB338</f>
        <v>275</v>
      </c>
      <c r="AD338" s="26">
        <v>0</v>
      </c>
      <c r="AE338" s="26">
        <v>0</v>
      </c>
      <c r="AF338" s="26">
        <f t="shared" si="141"/>
        <v>275</v>
      </c>
      <c r="AG338" s="34">
        <v>0</v>
      </c>
      <c r="AH338" s="34">
        <v>0</v>
      </c>
      <c r="AI338" s="34">
        <f t="shared" si="142"/>
        <v>275</v>
      </c>
    </row>
    <row r="339" spans="1:35" ht="13.5" customHeight="1" thickBot="1" x14ac:dyDescent="0.3">
      <c r="A339" s="164" t="s">
        <v>381</v>
      </c>
      <c r="B339" s="147"/>
      <c r="C339" s="41">
        <v>0</v>
      </c>
      <c r="D339" s="41">
        <v>160</v>
      </c>
      <c r="E339" s="42">
        <v>0</v>
      </c>
      <c r="F339" s="42">
        <v>0</v>
      </c>
      <c r="G339" s="42">
        <f>D339+E339+F339</f>
        <v>160</v>
      </c>
      <c r="H339" s="41">
        <v>0</v>
      </c>
      <c r="I339" s="42">
        <v>0</v>
      </c>
      <c r="J339" s="42">
        <v>0</v>
      </c>
      <c r="K339" s="42">
        <f>G339+H339+I339+J339</f>
        <v>160</v>
      </c>
      <c r="L339" s="41">
        <v>0</v>
      </c>
      <c r="M339" s="41">
        <v>0</v>
      </c>
      <c r="N339" s="42">
        <f>K339+L339+M339</f>
        <v>160</v>
      </c>
      <c r="O339" s="42">
        <v>0</v>
      </c>
      <c r="P339" s="42">
        <v>0</v>
      </c>
      <c r="Q339" s="42">
        <v>0</v>
      </c>
      <c r="R339" s="39">
        <f>O339+P339+Q339</f>
        <v>0</v>
      </c>
      <c r="S339" s="44">
        <v>0</v>
      </c>
      <c r="T339" s="45">
        <v>0</v>
      </c>
      <c r="U339" s="45">
        <f>SUM(R339:T339)</f>
        <v>0</v>
      </c>
      <c r="V339" s="44">
        <v>0</v>
      </c>
      <c r="W339" s="44">
        <f>V339-U339</f>
        <v>0</v>
      </c>
      <c r="X339" s="44">
        <v>0</v>
      </c>
      <c r="Y339" s="44">
        <v>0</v>
      </c>
      <c r="Z339" s="181">
        <f t="shared" si="134"/>
        <v>0</v>
      </c>
      <c r="AA339" s="181">
        <f t="shared" si="134"/>
        <v>0</v>
      </c>
      <c r="AB339" s="181">
        <f t="shared" si="134"/>
        <v>0</v>
      </c>
      <c r="AC339" s="45">
        <f t="shared" si="120"/>
        <v>0</v>
      </c>
      <c r="AD339" s="44">
        <v>0</v>
      </c>
      <c r="AE339" s="44">
        <v>0</v>
      </c>
      <c r="AF339" s="47">
        <f>SUM(AC339:AE339)</f>
        <v>0</v>
      </c>
      <c r="AG339" s="44">
        <v>0</v>
      </c>
      <c r="AH339" s="44">
        <v>0</v>
      </c>
      <c r="AI339" s="34">
        <f t="shared" si="142"/>
        <v>0</v>
      </c>
    </row>
    <row r="340" spans="1:35" ht="15.75" thickBot="1" x14ac:dyDescent="0.3">
      <c r="A340" s="165" t="s">
        <v>223</v>
      </c>
      <c r="B340" s="155"/>
      <c r="C340" s="183" t="e">
        <f>C342+C343+#REF!+C345</f>
        <v>#REF!</v>
      </c>
      <c r="D340" s="183">
        <f>D342+D343+D345</f>
        <v>22118</v>
      </c>
      <c r="E340" s="183">
        <f t="shared" ref="E340:N340" si="143">E342+E343+E345</f>
        <v>323</v>
      </c>
      <c r="F340" s="183">
        <f t="shared" si="143"/>
        <v>14075</v>
      </c>
      <c r="G340" s="183">
        <f t="shared" si="143"/>
        <v>37151</v>
      </c>
      <c r="H340" s="183">
        <f t="shared" si="143"/>
        <v>0</v>
      </c>
      <c r="I340" s="183">
        <f t="shared" si="143"/>
        <v>0</v>
      </c>
      <c r="J340" s="183">
        <f t="shared" si="143"/>
        <v>0</v>
      </c>
      <c r="K340" s="187">
        <f t="shared" si="143"/>
        <v>37151</v>
      </c>
      <c r="L340" s="187">
        <f t="shared" si="143"/>
        <v>0</v>
      </c>
      <c r="M340" s="187">
        <f t="shared" si="143"/>
        <v>2900</v>
      </c>
      <c r="N340" s="187">
        <f t="shared" si="143"/>
        <v>40051</v>
      </c>
      <c r="O340" s="156">
        <f>O342+O343+O345</f>
        <v>21237</v>
      </c>
      <c r="P340" s="156">
        <f>P342+P343+P345</f>
        <v>3018</v>
      </c>
      <c r="Q340" s="156">
        <f>Q342+Q343+Q345</f>
        <v>5989</v>
      </c>
      <c r="R340" s="156">
        <f>R342+R343+R345</f>
        <v>30244</v>
      </c>
      <c r="S340" s="128">
        <f t="shared" ref="S340:Y340" si="144">SUM(S342:S345)</f>
        <v>3100</v>
      </c>
      <c r="T340" s="129">
        <f t="shared" si="144"/>
        <v>0</v>
      </c>
      <c r="U340" s="129">
        <f t="shared" si="144"/>
        <v>33344</v>
      </c>
      <c r="V340" s="128">
        <f t="shared" si="144"/>
        <v>19868</v>
      </c>
      <c r="W340" s="128">
        <f t="shared" si="144"/>
        <v>14135</v>
      </c>
      <c r="X340" s="129">
        <f t="shared" si="144"/>
        <v>0</v>
      </c>
      <c r="Y340" s="128">
        <f t="shared" si="144"/>
        <v>-2250</v>
      </c>
      <c r="Z340" s="182">
        <f t="shared" si="134"/>
        <v>31753</v>
      </c>
      <c r="AA340" s="182">
        <f>SUM(AA342:AA345)</f>
        <v>-6537</v>
      </c>
      <c r="AB340" s="182">
        <f>SUM(AB342:AB345)</f>
        <v>871</v>
      </c>
      <c r="AC340" s="129">
        <f t="shared" si="120"/>
        <v>26087</v>
      </c>
      <c r="AD340" s="128">
        <f>SUM(AD342:AD345)</f>
        <v>2300</v>
      </c>
      <c r="AE340" s="128">
        <f>SUM(AE342:AE345)</f>
        <v>2210</v>
      </c>
      <c r="AF340" s="128">
        <f>SUM(AF342:AF345)</f>
        <v>30697</v>
      </c>
      <c r="AG340" s="128">
        <f>SUM(AG342:AG345)</f>
        <v>-9539</v>
      </c>
      <c r="AH340" s="128">
        <f>SUM(AH342:AH345)</f>
        <v>0</v>
      </c>
      <c r="AI340" s="128">
        <f>SUM(AF340:AH340)</f>
        <v>21158</v>
      </c>
    </row>
    <row r="341" spans="1:35" ht="15" customHeight="1" x14ac:dyDescent="0.25">
      <c r="A341" s="167" t="s">
        <v>59</v>
      </c>
      <c r="B341" s="137"/>
      <c r="C341" s="24"/>
      <c r="D341" s="24"/>
      <c r="E341" s="25"/>
      <c r="F341" s="25"/>
      <c r="G341" s="25"/>
      <c r="H341" s="24"/>
      <c r="I341" s="25"/>
      <c r="J341" s="25"/>
      <c r="K341" s="225"/>
      <c r="L341" s="132"/>
      <c r="M341" s="132"/>
      <c r="N341" s="131"/>
      <c r="O341" s="131"/>
      <c r="P341" s="131"/>
      <c r="Q341" s="131"/>
      <c r="R341" s="131"/>
      <c r="S341" s="26"/>
      <c r="T341" s="27"/>
      <c r="U341" s="27"/>
      <c r="V341" s="26"/>
      <c r="W341" s="26"/>
      <c r="X341" s="27"/>
      <c r="Y341" s="26"/>
      <c r="Z341" s="74"/>
      <c r="AA341" s="74"/>
      <c r="AB341" s="74"/>
      <c r="AC341" s="27"/>
      <c r="AD341" s="26"/>
      <c r="AE341" s="26"/>
      <c r="AF341" s="26"/>
      <c r="AG341" s="26"/>
      <c r="AH341" s="26"/>
      <c r="AI341" s="26"/>
    </row>
    <row r="342" spans="1:35" ht="25.5" customHeight="1" x14ac:dyDescent="0.25">
      <c r="A342" s="28" t="s">
        <v>382</v>
      </c>
      <c r="B342" s="141"/>
      <c r="C342" s="32">
        <v>0</v>
      </c>
      <c r="D342" s="32">
        <v>0</v>
      </c>
      <c r="E342" s="33">
        <v>0</v>
      </c>
      <c r="F342" s="33">
        <v>0</v>
      </c>
      <c r="G342" s="33">
        <f>D342+E342+F342</f>
        <v>0</v>
      </c>
      <c r="H342" s="32">
        <v>0</v>
      </c>
      <c r="I342" s="33">
        <v>0</v>
      </c>
      <c r="J342" s="33">
        <v>0</v>
      </c>
      <c r="K342" s="33">
        <f>G342+H342+I342+J342</f>
        <v>0</v>
      </c>
      <c r="L342" s="32">
        <v>0</v>
      </c>
      <c r="M342" s="32">
        <v>0</v>
      </c>
      <c r="N342" s="33">
        <f>K342+L342+M342</f>
        <v>0</v>
      </c>
      <c r="O342" s="33">
        <v>0</v>
      </c>
      <c r="P342" s="33">
        <v>0</v>
      </c>
      <c r="Q342" s="33">
        <v>0</v>
      </c>
      <c r="R342" s="31">
        <f>O342+P342+Q342</f>
        <v>0</v>
      </c>
      <c r="S342" s="32">
        <v>0</v>
      </c>
      <c r="T342" s="33">
        <v>0</v>
      </c>
      <c r="U342" s="33">
        <f>SUM(R342:T342)</f>
        <v>0</v>
      </c>
      <c r="V342" s="34">
        <v>0</v>
      </c>
      <c r="W342" s="34">
        <f>V342-U342</f>
        <v>0</v>
      </c>
      <c r="X342" s="35">
        <v>0</v>
      </c>
      <c r="Y342" s="34">
        <v>0</v>
      </c>
      <c r="Z342" s="87">
        <f t="shared" si="134"/>
        <v>0</v>
      </c>
      <c r="AA342" s="87">
        <f t="shared" si="134"/>
        <v>0</v>
      </c>
      <c r="AB342" s="87">
        <f t="shared" si="134"/>
        <v>0</v>
      </c>
      <c r="AC342" s="27">
        <f t="shared" si="120"/>
        <v>0</v>
      </c>
      <c r="AD342" s="26">
        <v>0</v>
      </c>
      <c r="AE342" s="26">
        <v>0</v>
      </c>
      <c r="AF342" s="26">
        <f>SUM(AC342:AE342)</f>
        <v>0</v>
      </c>
      <c r="AG342" s="34">
        <v>0</v>
      </c>
      <c r="AH342" s="34">
        <v>0</v>
      </c>
      <c r="AI342" s="34">
        <f>SUM(AF342:AH342)</f>
        <v>0</v>
      </c>
    </row>
    <row r="343" spans="1:35" ht="15.75" customHeight="1" x14ac:dyDescent="0.25">
      <c r="A343" s="163" t="s">
        <v>360</v>
      </c>
      <c r="B343" s="141"/>
      <c r="C343" s="32">
        <v>33880</v>
      </c>
      <c r="D343" s="32">
        <v>21618</v>
      </c>
      <c r="E343" s="33">
        <f>323</f>
        <v>323</v>
      </c>
      <c r="F343" s="33">
        <v>14075</v>
      </c>
      <c r="G343" s="33">
        <f>D343+E343+F343+635</f>
        <v>36651</v>
      </c>
      <c r="H343" s="32">
        <v>0</v>
      </c>
      <c r="I343" s="33">
        <v>0</v>
      </c>
      <c r="J343" s="33">
        <v>0</v>
      </c>
      <c r="K343" s="33">
        <f>G343+H343+I343+J343</f>
        <v>36651</v>
      </c>
      <c r="L343" s="32">
        <v>0</v>
      </c>
      <c r="M343" s="32">
        <v>2900</v>
      </c>
      <c r="N343" s="33">
        <f>K343+L343+M343</f>
        <v>39551</v>
      </c>
      <c r="O343" s="33">
        <v>17442</v>
      </c>
      <c r="P343" s="33">
        <f>6084+729</f>
        <v>6813</v>
      </c>
      <c r="Q343" s="33">
        <v>5989</v>
      </c>
      <c r="R343" s="31">
        <f>O343+P343+Q343</f>
        <v>30244</v>
      </c>
      <c r="S343" s="34">
        <v>3100</v>
      </c>
      <c r="T343" s="35">
        <v>0</v>
      </c>
      <c r="U343" s="33">
        <f>SUM(R343:T343)</f>
        <v>33344</v>
      </c>
      <c r="V343" s="34">
        <v>19868</v>
      </c>
      <c r="W343" s="34">
        <f>1830+2400+9905</f>
        <v>14135</v>
      </c>
      <c r="X343" s="35">
        <v>0</v>
      </c>
      <c r="Y343" s="34">
        <f>-2250+0</f>
        <v>-2250</v>
      </c>
      <c r="Z343" s="87">
        <f t="shared" si="134"/>
        <v>31753</v>
      </c>
      <c r="AA343" s="87">
        <f>-6537</f>
        <v>-6537</v>
      </c>
      <c r="AB343" s="87">
        <f>763+52+56</f>
        <v>871</v>
      </c>
      <c r="AC343" s="27">
        <f t="shared" si="120"/>
        <v>26087</v>
      </c>
      <c r="AD343" s="26">
        <v>0</v>
      </c>
      <c r="AE343" s="26">
        <f>1960+250</f>
        <v>2210</v>
      </c>
      <c r="AF343" s="26">
        <f>SUM(AC343:AE343)+100</f>
        <v>28397</v>
      </c>
      <c r="AG343" s="34">
        <f>-7239</f>
        <v>-7239</v>
      </c>
      <c r="AH343" s="34">
        <v>0</v>
      </c>
      <c r="AI343" s="34">
        <f t="shared" ref="AI343:AI344" si="145">SUM(AF343:AH343)</f>
        <v>21158</v>
      </c>
    </row>
    <row r="344" spans="1:35" ht="27" customHeight="1" x14ac:dyDescent="0.25">
      <c r="A344" s="28" t="s">
        <v>383</v>
      </c>
      <c r="B344" s="162" t="s">
        <v>384</v>
      </c>
      <c r="C344" s="32"/>
      <c r="D344" s="32"/>
      <c r="E344" s="33"/>
      <c r="F344" s="33"/>
      <c r="G344" s="33"/>
      <c r="H344" s="32"/>
      <c r="I344" s="33"/>
      <c r="J344" s="33"/>
      <c r="K344" s="33"/>
      <c r="L344" s="32"/>
      <c r="M344" s="32"/>
      <c r="N344" s="33"/>
      <c r="O344" s="33"/>
      <c r="P344" s="33"/>
      <c r="Q344" s="33"/>
      <c r="R344" s="31"/>
      <c r="S344" s="32"/>
      <c r="T344" s="33"/>
      <c r="U344" s="33"/>
      <c r="V344" s="34">
        <v>0</v>
      </c>
      <c r="W344" s="34"/>
      <c r="X344" s="35"/>
      <c r="Y344" s="34"/>
      <c r="Z344" s="87"/>
      <c r="AA344" s="87"/>
      <c r="AB344" s="87"/>
      <c r="AC344" s="35">
        <v>0</v>
      </c>
      <c r="AD344" s="34">
        <v>2300</v>
      </c>
      <c r="AE344" s="34">
        <v>0</v>
      </c>
      <c r="AF344" s="34">
        <f t="shared" ref="AF344" si="146">SUM(AC344:AE344)</f>
        <v>2300</v>
      </c>
      <c r="AG344" s="34">
        <f>-2300</f>
        <v>-2300</v>
      </c>
      <c r="AH344" s="34">
        <v>0</v>
      </c>
      <c r="AI344" s="34">
        <f t="shared" si="145"/>
        <v>0</v>
      </c>
    </row>
    <row r="345" spans="1:35" ht="27.75" customHeight="1" thickBot="1" x14ac:dyDescent="0.3">
      <c r="A345" s="36" t="s">
        <v>385</v>
      </c>
      <c r="B345" s="147"/>
      <c r="C345" s="41">
        <v>0</v>
      </c>
      <c r="D345" s="41">
        <v>500</v>
      </c>
      <c r="E345" s="42">
        <v>0</v>
      </c>
      <c r="F345" s="42">
        <v>0</v>
      </c>
      <c r="G345" s="42">
        <f>D345+E345+F345</f>
        <v>500</v>
      </c>
      <c r="H345" s="41">
        <v>0</v>
      </c>
      <c r="I345" s="42">
        <v>0</v>
      </c>
      <c r="J345" s="42">
        <v>0</v>
      </c>
      <c r="K345" s="42">
        <f>G345+H345+I345+J345</f>
        <v>500</v>
      </c>
      <c r="L345" s="41">
        <v>0</v>
      </c>
      <c r="M345" s="41">
        <v>0</v>
      </c>
      <c r="N345" s="42">
        <f>K345+L345+M345</f>
        <v>500</v>
      </c>
      <c r="O345" s="42">
        <v>3795</v>
      </c>
      <c r="P345" s="42">
        <v>-3795</v>
      </c>
      <c r="Q345" s="42">
        <v>0</v>
      </c>
      <c r="R345" s="39">
        <f>O345+P345+Q345</f>
        <v>0</v>
      </c>
      <c r="S345" s="41">
        <v>0</v>
      </c>
      <c r="T345" s="42">
        <v>0</v>
      </c>
      <c r="U345" s="42">
        <f>SUM(R345:T345)</f>
        <v>0</v>
      </c>
      <c r="V345" s="44">
        <v>0</v>
      </c>
      <c r="W345" s="44">
        <f>V345-U345</f>
        <v>0</v>
      </c>
      <c r="X345" s="45">
        <v>0</v>
      </c>
      <c r="Y345" s="44">
        <v>0</v>
      </c>
      <c r="Z345" s="181">
        <f t="shared" si="134"/>
        <v>0</v>
      </c>
      <c r="AA345" s="181">
        <f t="shared" si="134"/>
        <v>0</v>
      </c>
      <c r="AB345" s="181">
        <f t="shared" si="134"/>
        <v>0</v>
      </c>
      <c r="AC345" s="45">
        <f t="shared" si="120"/>
        <v>0</v>
      </c>
      <c r="AD345" s="44">
        <v>0</v>
      </c>
      <c r="AE345" s="44">
        <v>0</v>
      </c>
      <c r="AF345" s="44">
        <f>SUM(AC345:AE345)</f>
        <v>0</v>
      </c>
      <c r="AG345" s="44">
        <v>0</v>
      </c>
      <c r="AH345" s="44">
        <v>0</v>
      </c>
      <c r="AI345" s="34">
        <f>SUM(AF345:AH345)</f>
        <v>0</v>
      </c>
    </row>
    <row r="346" spans="1:35" ht="15.75" thickBot="1" x14ac:dyDescent="0.3">
      <c r="A346" s="165" t="s">
        <v>234</v>
      </c>
      <c r="B346" s="155"/>
      <c r="C346" s="183" t="e">
        <f>C348+C349+C350+#REF!+C353</f>
        <v>#REF!</v>
      </c>
      <c r="D346" s="183" t="e">
        <f>D348+D349+D350+#REF!+D353</f>
        <v>#REF!</v>
      </c>
      <c r="E346" s="183" t="e">
        <f>E348+E349+E350+#REF!+E353</f>
        <v>#REF!</v>
      </c>
      <c r="F346" s="183" t="e">
        <f>F348+F349+F350+#REF!+F353</f>
        <v>#REF!</v>
      </c>
      <c r="G346" s="187" t="e">
        <f>D346+E346+F346</f>
        <v>#REF!</v>
      </c>
      <c r="H346" s="183" t="e">
        <f>H348+H349+H350+#REF!+H353</f>
        <v>#REF!</v>
      </c>
      <c r="I346" s="183" t="e">
        <f>I348+I349+I350+#REF!+I353</f>
        <v>#REF!</v>
      </c>
      <c r="J346" s="183" t="e">
        <f>J348+J349+J350+#REF!+J353</f>
        <v>#REF!</v>
      </c>
      <c r="K346" s="156" t="e">
        <f>G346+H346+I346+J346</f>
        <v>#REF!</v>
      </c>
      <c r="L346" s="159" t="e">
        <f>L348+L349+L350+#REF!+L353+#REF!</f>
        <v>#REF!</v>
      </c>
      <c r="M346" s="159" t="e">
        <f>M348+M349+M350+#REF!+M353+#REF!</f>
        <v>#REF!</v>
      </c>
      <c r="N346" s="156" t="e">
        <f>N348+N349+N350+#REF!+N353+#REF!</f>
        <v>#REF!</v>
      </c>
      <c r="O346" s="156" t="e">
        <f>O348+O349+O350+#REF!+O353+#REF!</f>
        <v>#REF!</v>
      </c>
      <c r="P346" s="156" t="e">
        <f>P348+P349+P350+#REF!+P353+#REF!</f>
        <v>#REF!</v>
      </c>
      <c r="Q346" s="156" t="e">
        <f>Q348+Q349+Q350+#REF!+Q353+#REF!</f>
        <v>#REF!</v>
      </c>
      <c r="R346" s="159" t="e">
        <f>R348+R349+R350+#REF!+#REF!+R353</f>
        <v>#REF!</v>
      </c>
      <c r="S346" s="128">
        <f t="shared" ref="S346:X346" si="147">SUM(S348:S353)</f>
        <v>0</v>
      </c>
      <c r="T346" s="129">
        <f t="shared" si="147"/>
        <v>0</v>
      </c>
      <c r="U346" s="129">
        <f t="shared" si="147"/>
        <v>1286.8800000000001</v>
      </c>
      <c r="V346" s="128">
        <f t="shared" si="147"/>
        <v>2000</v>
      </c>
      <c r="W346" s="128">
        <f t="shared" si="147"/>
        <v>860</v>
      </c>
      <c r="X346" s="129">
        <f t="shared" si="147"/>
        <v>0</v>
      </c>
      <c r="Y346" s="128">
        <f>SUM(Y348:Y353)</f>
        <v>0</v>
      </c>
      <c r="Z346" s="182">
        <f t="shared" si="134"/>
        <v>2860</v>
      </c>
      <c r="AA346" s="182">
        <f>SUM(AA348:AA353)</f>
        <v>-550</v>
      </c>
      <c r="AB346" s="182">
        <f>SUM(AB348:AB353)</f>
        <v>-77</v>
      </c>
      <c r="AC346" s="129">
        <f t="shared" si="120"/>
        <v>2233</v>
      </c>
      <c r="AD346" s="128">
        <f>SUM(AD348:AD353)</f>
        <v>0.78999999999999915</v>
      </c>
      <c r="AE346" s="128">
        <f>SUM(AE348:AE353)</f>
        <v>0</v>
      </c>
      <c r="AF346" s="128">
        <f>SUM(AF348:AF353)</f>
        <v>2233.79</v>
      </c>
      <c r="AG346" s="128">
        <f>SUM(AG348:AG357)</f>
        <v>-650</v>
      </c>
      <c r="AH346" s="128">
        <f>SUM(AH348:AH353)</f>
        <v>0</v>
      </c>
      <c r="AI346" s="128">
        <f>SUM(AF346:AH346)</f>
        <v>1583.79</v>
      </c>
    </row>
    <row r="347" spans="1:35" ht="20.25" customHeight="1" x14ac:dyDescent="0.25">
      <c r="A347" s="167" t="s">
        <v>59</v>
      </c>
      <c r="B347" s="137"/>
      <c r="C347" s="24"/>
      <c r="D347" s="24"/>
      <c r="E347" s="25"/>
      <c r="F347" s="25"/>
      <c r="G347" s="25"/>
      <c r="H347" s="24"/>
      <c r="I347" s="25"/>
      <c r="J347" s="25"/>
      <c r="K347" s="131"/>
      <c r="L347" s="132"/>
      <c r="M347" s="132"/>
      <c r="N347" s="131"/>
      <c r="O347" s="131"/>
      <c r="P347" s="131"/>
      <c r="Q347" s="131"/>
      <c r="R347" s="131"/>
      <c r="S347" s="26"/>
      <c r="T347" s="27"/>
      <c r="U347" s="27"/>
      <c r="V347" s="184"/>
      <c r="W347" s="184"/>
      <c r="X347" s="185"/>
      <c r="Y347" s="184"/>
      <c r="Z347" s="226"/>
      <c r="AA347" s="226"/>
      <c r="AB347" s="226"/>
      <c r="AC347" s="27"/>
      <c r="AD347" s="26"/>
      <c r="AE347" s="26"/>
      <c r="AF347" s="26"/>
      <c r="AG347" s="26"/>
      <c r="AH347" s="26"/>
      <c r="AI347" s="26"/>
    </row>
    <row r="348" spans="1:35" ht="24.75" customHeight="1" x14ac:dyDescent="0.25">
      <c r="A348" s="28" t="s">
        <v>386</v>
      </c>
      <c r="B348" s="141"/>
      <c r="C348" s="32">
        <v>262.38</v>
      </c>
      <c r="D348" s="32">
        <v>0</v>
      </c>
      <c r="E348" s="33">
        <v>0</v>
      </c>
      <c r="F348" s="33">
        <v>0</v>
      </c>
      <c r="G348" s="33">
        <f>D348+E348+F348</f>
        <v>0</v>
      </c>
      <c r="H348" s="32">
        <v>0</v>
      </c>
      <c r="I348" s="33">
        <v>0</v>
      </c>
      <c r="J348" s="33">
        <v>0</v>
      </c>
      <c r="K348" s="33">
        <f>G348+H348+I348+J348</f>
        <v>0</v>
      </c>
      <c r="L348" s="32">
        <v>0</v>
      </c>
      <c r="M348" s="32">
        <v>0</v>
      </c>
      <c r="N348" s="33">
        <f>K348+L348+M348</f>
        <v>0</v>
      </c>
      <c r="O348" s="33">
        <v>0</v>
      </c>
      <c r="P348" s="33">
        <v>0</v>
      </c>
      <c r="Q348" s="33">
        <v>0</v>
      </c>
      <c r="R348" s="31">
        <f>O348+P348+Q348</f>
        <v>0</v>
      </c>
      <c r="S348" s="32">
        <v>0</v>
      </c>
      <c r="T348" s="33">
        <v>0</v>
      </c>
      <c r="U348" s="33">
        <f>SUM(R348:T348)</f>
        <v>0</v>
      </c>
      <c r="V348" s="227">
        <v>0</v>
      </c>
      <c r="W348" s="34">
        <f>V348-U348</f>
        <v>0</v>
      </c>
      <c r="X348" s="35">
        <v>0</v>
      </c>
      <c r="Y348" s="34">
        <v>0</v>
      </c>
      <c r="Z348" s="87">
        <f>SUM(V348:Y348)</f>
        <v>0</v>
      </c>
      <c r="AA348" s="87">
        <f>SUM(W348:Z348)</f>
        <v>0</v>
      </c>
      <c r="AB348" s="87">
        <f>SUM(X348:AA348)</f>
        <v>0</v>
      </c>
      <c r="AC348" s="27">
        <f t="shared" si="120"/>
        <v>0</v>
      </c>
      <c r="AD348" s="26">
        <v>0</v>
      </c>
      <c r="AE348" s="26">
        <v>0</v>
      </c>
      <c r="AF348" s="26">
        <f>SUM(AC348:AE348)</f>
        <v>0</v>
      </c>
      <c r="AG348" s="34">
        <v>0</v>
      </c>
      <c r="AH348" s="34">
        <v>0</v>
      </c>
      <c r="AI348" s="34">
        <f>SUM(AF348:AH348)</f>
        <v>0</v>
      </c>
    </row>
    <row r="349" spans="1:35" x14ac:dyDescent="0.25">
      <c r="A349" s="163" t="s">
        <v>360</v>
      </c>
      <c r="B349" s="141"/>
      <c r="C349" s="32">
        <v>910</v>
      </c>
      <c r="D349" s="32">
        <v>475</v>
      </c>
      <c r="E349" s="33">
        <v>0</v>
      </c>
      <c r="F349" s="33">
        <v>0</v>
      </c>
      <c r="G349" s="33">
        <f>D349+E349+F349</f>
        <v>475</v>
      </c>
      <c r="H349" s="32">
        <v>0</v>
      </c>
      <c r="I349" s="33">
        <v>0</v>
      </c>
      <c r="J349" s="33">
        <v>100</v>
      </c>
      <c r="K349" s="33">
        <f>G349+H349+I349+J349</f>
        <v>575</v>
      </c>
      <c r="L349" s="32">
        <v>0</v>
      </c>
      <c r="M349" s="32">
        <v>0</v>
      </c>
      <c r="N349" s="33">
        <f>K349+L349+M349</f>
        <v>575</v>
      </c>
      <c r="O349" s="33">
        <v>160</v>
      </c>
      <c r="P349" s="33">
        <f>-580</f>
        <v>-580</v>
      </c>
      <c r="Q349" s="33">
        <v>600</v>
      </c>
      <c r="R349" s="31">
        <f>O349+P349+Q349</f>
        <v>180</v>
      </c>
      <c r="S349" s="34">
        <v>0</v>
      </c>
      <c r="T349" s="35">
        <f>0</f>
        <v>0</v>
      </c>
      <c r="U349" s="35">
        <f>SUM(R349:T349)</f>
        <v>180</v>
      </c>
      <c r="V349" s="228">
        <v>0</v>
      </c>
      <c r="W349" s="34">
        <f>860</f>
        <v>860</v>
      </c>
      <c r="X349" s="35">
        <v>0</v>
      </c>
      <c r="Y349" s="34">
        <v>0</v>
      </c>
      <c r="Z349" s="87">
        <f t="shared" ref="Z349:AB372" si="148">SUM(V349:Y349)</f>
        <v>860</v>
      </c>
      <c r="AA349" s="87">
        <f>-550</f>
        <v>-550</v>
      </c>
      <c r="AB349" s="87">
        <f>-37-40</f>
        <v>-77</v>
      </c>
      <c r="AC349" s="27">
        <f t="shared" si="120"/>
        <v>233</v>
      </c>
      <c r="AD349" s="26">
        <v>-50</v>
      </c>
      <c r="AE349" s="26">
        <v>0</v>
      </c>
      <c r="AF349" s="26">
        <f t="shared" ref="AF349:AF352" si="149">SUM(AC349:AE349)</f>
        <v>183</v>
      </c>
      <c r="AG349" s="34">
        <v>0</v>
      </c>
      <c r="AH349" s="34">
        <v>0</v>
      </c>
      <c r="AI349" s="34">
        <f t="shared" ref="AI349:AI353" si="150">SUM(AF349:AH349)</f>
        <v>183</v>
      </c>
    </row>
    <row r="350" spans="1:35" ht="24.75" customHeight="1" x14ac:dyDescent="0.25">
      <c r="A350" s="28" t="s">
        <v>236</v>
      </c>
      <c r="B350" s="197" t="s">
        <v>237</v>
      </c>
      <c r="C350" s="32">
        <v>800.7</v>
      </c>
      <c r="D350" s="32">
        <v>835</v>
      </c>
      <c r="E350" s="33">
        <v>0</v>
      </c>
      <c r="F350" s="33">
        <v>0</v>
      </c>
      <c r="G350" s="33">
        <f>D350+E350+F350</f>
        <v>835</v>
      </c>
      <c r="H350" s="32">
        <v>0</v>
      </c>
      <c r="I350" s="33">
        <v>0</v>
      </c>
      <c r="J350" s="33">
        <v>0</v>
      </c>
      <c r="K350" s="33">
        <f>G350+H350+I350+J350</f>
        <v>835</v>
      </c>
      <c r="L350" s="32">
        <v>0</v>
      </c>
      <c r="M350" s="32">
        <v>0</v>
      </c>
      <c r="N350" s="33">
        <f>K350+L350+M350</f>
        <v>835</v>
      </c>
      <c r="O350" s="33">
        <v>1106.8800000000001</v>
      </c>
      <c r="P350" s="33">
        <v>0</v>
      </c>
      <c r="Q350" s="33">
        <v>0</v>
      </c>
      <c r="R350" s="31">
        <f>O350+P350+Q350</f>
        <v>1106.8800000000001</v>
      </c>
      <c r="S350" s="32">
        <v>0</v>
      </c>
      <c r="T350" s="33">
        <v>0</v>
      </c>
      <c r="U350" s="33">
        <f>SUM(R350:T350)</f>
        <v>1106.8800000000001</v>
      </c>
      <c r="V350" s="34">
        <v>1350</v>
      </c>
      <c r="W350" s="34">
        <v>0</v>
      </c>
      <c r="X350" s="35">
        <v>0</v>
      </c>
      <c r="Y350" s="34">
        <v>0</v>
      </c>
      <c r="Z350" s="87">
        <f t="shared" si="148"/>
        <v>1350</v>
      </c>
      <c r="AA350" s="87">
        <v>0</v>
      </c>
      <c r="AB350" s="87">
        <v>0</v>
      </c>
      <c r="AC350" s="27">
        <f t="shared" si="120"/>
        <v>1350</v>
      </c>
      <c r="AD350" s="26">
        <v>50.79</v>
      </c>
      <c r="AE350" s="26">
        <v>0</v>
      </c>
      <c r="AF350" s="26">
        <f t="shared" si="149"/>
        <v>1400.79</v>
      </c>
      <c r="AG350" s="34">
        <v>0</v>
      </c>
      <c r="AH350" s="34">
        <v>0</v>
      </c>
      <c r="AI350" s="34">
        <f t="shared" si="150"/>
        <v>1400.79</v>
      </c>
    </row>
    <row r="351" spans="1:35" ht="24.75" customHeight="1" x14ac:dyDescent="0.25">
      <c r="A351" s="28" t="s">
        <v>387</v>
      </c>
      <c r="B351" s="176" t="s">
        <v>67</v>
      </c>
      <c r="C351" s="32"/>
      <c r="D351" s="32"/>
      <c r="E351" s="33"/>
      <c r="F351" s="33"/>
      <c r="G351" s="33"/>
      <c r="H351" s="32"/>
      <c r="I351" s="33"/>
      <c r="J351" s="33"/>
      <c r="K351" s="33"/>
      <c r="L351" s="32"/>
      <c r="M351" s="32"/>
      <c r="N351" s="33"/>
      <c r="O351" s="33">
        <v>0</v>
      </c>
      <c r="P351" s="33"/>
      <c r="Q351" s="33"/>
      <c r="R351" s="31"/>
      <c r="S351" s="32"/>
      <c r="T351" s="33"/>
      <c r="U351" s="33">
        <v>0</v>
      </c>
      <c r="V351" s="228">
        <v>520</v>
      </c>
      <c r="W351" s="34">
        <v>0</v>
      </c>
      <c r="X351" s="35">
        <v>0</v>
      </c>
      <c r="Y351" s="34">
        <v>0</v>
      </c>
      <c r="Z351" s="87">
        <f t="shared" si="148"/>
        <v>520</v>
      </c>
      <c r="AA351" s="87">
        <v>0</v>
      </c>
      <c r="AB351" s="87">
        <v>0</v>
      </c>
      <c r="AC351" s="27">
        <f t="shared" si="120"/>
        <v>520</v>
      </c>
      <c r="AD351" s="26">
        <v>0</v>
      </c>
      <c r="AE351" s="26">
        <v>0</v>
      </c>
      <c r="AF351" s="26">
        <f t="shared" si="149"/>
        <v>520</v>
      </c>
      <c r="AG351" s="34">
        <f>-520</f>
        <v>-520</v>
      </c>
      <c r="AH351" s="34">
        <v>0</v>
      </c>
      <c r="AI351" s="34">
        <f t="shared" si="150"/>
        <v>0</v>
      </c>
    </row>
    <row r="352" spans="1:35" ht="25.5" x14ac:dyDescent="0.25">
      <c r="A352" s="28" t="s">
        <v>388</v>
      </c>
      <c r="B352" s="176" t="s">
        <v>67</v>
      </c>
      <c r="C352" s="32"/>
      <c r="D352" s="32"/>
      <c r="E352" s="33"/>
      <c r="F352" s="33"/>
      <c r="G352" s="33"/>
      <c r="H352" s="32"/>
      <c r="I352" s="33"/>
      <c r="J352" s="33"/>
      <c r="K352" s="33"/>
      <c r="L352" s="32"/>
      <c r="M352" s="32"/>
      <c r="N352" s="33"/>
      <c r="O352" s="33">
        <v>0</v>
      </c>
      <c r="P352" s="33"/>
      <c r="Q352" s="33"/>
      <c r="R352" s="31"/>
      <c r="S352" s="32"/>
      <c r="T352" s="33"/>
      <c r="U352" s="33">
        <v>0</v>
      </c>
      <c r="V352" s="228">
        <v>130</v>
      </c>
      <c r="W352" s="34">
        <v>0</v>
      </c>
      <c r="X352" s="35">
        <v>0</v>
      </c>
      <c r="Y352" s="34">
        <v>0</v>
      </c>
      <c r="Z352" s="87">
        <f t="shared" si="148"/>
        <v>130</v>
      </c>
      <c r="AA352" s="87">
        <v>0</v>
      </c>
      <c r="AB352" s="87">
        <v>0</v>
      </c>
      <c r="AC352" s="35">
        <f t="shared" si="120"/>
        <v>130</v>
      </c>
      <c r="AD352" s="34">
        <v>0</v>
      </c>
      <c r="AE352" s="26">
        <v>0</v>
      </c>
      <c r="AF352" s="26">
        <f t="shared" si="149"/>
        <v>130</v>
      </c>
      <c r="AG352" s="34">
        <f>-130</f>
        <v>-130</v>
      </c>
      <c r="AH352" s="34">
        <v>0</v>
      </c>
      <c r="AI352" s="34">
        <f t="shared" si="150"/>
        <v>0</v>
      </c>
    </row>
    <row r="353" spans="1:35" ht="29.25" customHeight="1" thickBot="1" x14ac:dyDescent="0.3">
      <c r="A353" s="36" t="s">
        <v>389</v>
      </c>
      <c r="B353" s="147"/>
      <c r="C353" s="41">
        <v>437.3</v>
      </c>
      <c r="D353" s="41">
        <v>0</v>
      </c>
      <c r="E353" s="42">
        <v>0</v>
      </c>
      <c r="F353" s="42">
        <v>0</v>
      </c>
      <c r="G353" s="42">
        <f>D353+E353+F353</f>
        <v>0</v>
      </c>
      <c r="H353" s="41">
        <v>0</v>
      </c>
      <c r="I353" s="42">
        <v>0</v>
      </c>
      <c r="J353" s="42">
        <v>0</v>
      </c>
      <c r="K353" s="42">
        <f>G353+H353+I353+J353</f>
        <v>0</v>
      </c>
      <c r="L353" s="41">
        <v>0</v>
      </c>
      <c r="M353" s="41">
        <v>0</v>
      </c>
      <c r="N353" s="42">
        <f>K353+L353+M353</f>
        <v>0</v>
      </c>
      <c r="O353" s="42">
        <v>0</v>
      </c>
      <c r="P353" s="42">
        <v>0</v>
      </c>
      <c r="Q353" s="42">
        <v>0</v>
      </c>
      <c r="R353" s="39">
        <f>O353+P353+Q353</f>
        <v>0</v>
      </c>
      <c r="S353" s="41">
        <v>0</v>
      </c>
      <c r="T353" s="42">
        <v>0</v>
      </c>
      <c r="U353" s="42">
        <f>SUM(R353:T353)</f>
        <v>0</v>
      </c>
      <c r="V353" s="229">
        <v>0</v>
      </c>
      <c r="W353" s="44">
        <f>V353-U353</f>
        <v>0</v>
      </c>
      <c r="X353" s="45">
        <v>0</v>
      </c>
      <c r="Y353" s="44">
        <v>0</v>
      </c>
      <c r="Z353" s="89">
        <f t="shared" si="148"/>
        <v>0</v>
      </c>
      <c r="AA353" s="181">
        <f t="shared" si="148"/>
        <v>0</v>
      </c>
      <c r="AB353" s="89">
        <v>0</v>
      </c>
      <c r="AC353" s="45">
        <f t="shared" si="120"/>
        <v>0</v>
      </c>
      <c r="AD353" s="44">
        <v>0</v>
      </c>
      <c r="AE353" s="47">
        <v>0</v>
      </c>
      <c r="AF353" s="47">
        <f>SUM(AC353:AE353)</f>
        <v>0</v>
      </c>
      <c r="AG353" s="44">
        <v>0</v>
      </c>
      <c r="AH353" s="44">
        <v>0</v>
      </c>
      <c r="AI353" s="34">
        <f t="shared" si="150"/>
        <v>0</v>
      </c>
    </row>
    <row r="354" spans="1:35" ht="15.75" thickBot="1" x14ac:dyDescent="0.3">
      <c r="A354" s="165" t="s">
        <v>244</v>
      </c>
      <c r="B354" s="155"/>
      <c r="C354" s="183">
        <f>C356+C357</f>
        <v>0</v>
      </c>
      <c r="D354" s="183">
        <f>D356+D357</f>
        <v>0</v>
      </c>
      <c r="E354" s="183">
        <f>E356+E357</f>
        <v>0</v>
      </c>
      <c r="F354" s="183">
        <f>F356+F357</f>
        <v>0</v>
      </c>
      <c r="G354" s="187">
        <f>D354+E354+F354</f>
        <v>0</v>
      </c>
      <c r="H354" s="183">
        <f>H356+H357</f>
        <v>0</v>
      </c>
      <c r="I354" s="183">
        <f>I356+I357</f>
        <v>0</v>
      </c>
      <c r="J354" s="183">
        <f>J356+J357</f>
        <v>0</v>
      </c>
      <c r="K354" s="156">
        <f>G354+H354+I354+J354</f>
        <v>0</v>
      </c>
      <c r="L354" s="159">
        <f>L356+L357</f>
        <v>0</v>
      </c>
      <c r="M354" s="159">
        <f t="shared" ref="M354:R354" si="151">M356+M357</f>
        <v>0</v>
      </c>
      <c r="N354" s="156">
        <f t="shared" si="151"/>
        <v>0</v>
      </c>
      <c r="O354" s="156">
        <f t="shared" si="151"/>
        <v>0</v>
      </c>
      <c r="P354" s="156">
        <f t="shared" si="151"/>
        <v>0</v>
      </c>
      <c r="Q354" s="156">
        <f t="shared" si="151"/>
        <v>0</v>
      </c>
      <c r="R354" s="156">
        <f t="shared" si="151"/>
        <v>0</v>
      </c>
      <c r="S354" s="128">
        <f t="shared" ref="S354:X354" si="152">SUM(S356:S357)</f>
        <v>0</v>
      </c>
      <c r="T354" s="129">
        <f t="shared" si="152"/>
        <v>0</v>
      </c>
      <c r="U354" s="129">
        <f t="shared" si="152"/>
        <v>0</v>
      </c>
      <c r="V354" s="128">
        <f t="shared" si="152"/>
        <v>0</v>
      </c>
      <c r="W354" s="128">
        <f t="shared" si="152"/>
        <v>0</v>
      </c>
      <c r="X354" s="129">
        <f t="shared" si="152"/>
        <v>0</v>
      </c>
      <c r="Y354" s="128">
        <f>SUM(Y356:Y357)</f>
        <v>0</v>
      </c>
      <c r="Z354" s="182">
        <f t="shared" si="148"/>
        <v>0</v>
      </c>
      <c r="AA354" s="182">
        <f t="shared" si="148"/>
        <v>0</v>
      </c>
      <c r="AB354" s="182">
        <f>SUM(AB356:AB357)</f>
        <v>0</v>
      </c>
      <c r="AC354" s="129">
        <f t="shared" si="120"/>
        <v>0</v>
      </c>
      <c r="AD354" s="128">
        <f>SUM(AD356:AD357)</f>
        <v>0</v>
      </c>
      <c r="AE354" s="128">
        <f>SUM(AE356:AE357)</f>
        <v>0</v>
      </c>
      <c r="AF354" s="128">
        <f>SUM(AF356:AF357)</f>
        <v>0</v>
      </c>
      <c r="AG354" s="128">
        <f>SUM(AG356:AG357)</f>
        <v>0</v>
      </c>
      <c r="AH354" s="128">
        <f>SUM(AH356:AH357)</f>
        <v>0</v>
      </c>
      <c r="AI354" s="128">
        <f>SUM(AF354:AH354)</f>
        <v>0</v>
      </c>
    </row>
    <row r="355" spans="1:35" ht="14.25" customHeight="1" x14ac:dyDescent="0.25">
      <c r="A355" s="167" t="s">
        <v>59</v>
      </c>
      <c r="B355" s="137"/>
      <c r="C355" s="24"/>
      <c r="D355" s="24"/>
      <c r="E355" s="25"/>
      <c r="F355" s="25"/>
      <c r="G355" s="25"/>
      <c r="H355" s="24"/>
      <c r="I355" s="25"/>
      <c r="J355" s="25"/>
      <c r="K355" s="131"/>
      <c r="L355" s="132"/>
      <c r="M355" s="132"/>
      <c r="N355" s="131"/>
      <c r="O355" s="131"/>
      <c r="P355" s="131"/>
      <c r="Q355" s="131"/>
      <c r="R355" s="131"/>
      <c r="S355" s="184"/>
      <c r="T355" s="185"/>
      <c r="U355" s="185"/>
      <c r="V355" s="26"/>
      <c r="W355" s="26"/>
      <c r="X355" s="27"/>
      <c r="Y355" s="26"/>
      <c r="Z355" s="74"/>
      <c r="AA355" s="74"/>
      <c r="AB355" s="74"/>
      <c r="AC355" s="27"/>
      <c r="AD355" s="26"/>
      <c r="AE355" s="26"/>
      <c r="AF355" s="26"/>
      <c r="AG355" s="26"/>
      <c r="AH355" s="26"/>
      <c r="AI355" s="26"/>
    </row>
    <row r="356" spans="1:35" ht="17.25" customHeight="1" x14ac:dyDescent="0.25">
      <c r="A356" s="163" t="s">
        <v>390</v>
      </c>
      <c r="B356" s="141"/>
      <c r="C356" s="32">
        <v>0</v>
      </c>
      <c r="D356" s="32">
        <v>0</v>
      </c>
      <c r="E356" s="33">
        <v>0</v>
      </c>
      <c r="F356" s="33">
        <v>0</v>
      </c>
      <c r="G356" s="33">
        <f>D356+E356+F356</f>
        <v>0</v>
      </c>
      <c r="H356" s="32">
        <v>0</v>
      </c>
      <c r="I356" s="33">
        <v>0</v>
      </c>
      <c r="J356" s="33">
        <v>0</v>
      </c>
      <c r="K356" s="33">
        <f>G356+H356+I356+J356</f>
        <v>0</v>
      </c>
      <c r="L356" s="32">
        <v>0</v>
      </c>
      <c r="M356" s="32">
        <v>0</v>
      </c>
      <c r="N356" s="33">
        <f>K356+L356+M356</f>
        <v>0</v>
      </c>
      <c r="O356" s="33">
        <v>0</v>
      </c>
      <c r="P356" s="33">
        <v>0</v>
      </c>
      <c r="Q356" s="33">
        <v>0</v>
      </c>
      <c r="R356" s="31">
        <f>O356+P356+Q356</f>
        <v>0</v>
      </c>
      <c r="S356" s="34">
        <v>0</v>
      </c>
      <c r="T356" s="35">
        <v>0</v>
      </c>
      <c r="U356" s="35">
        <f>SUM(R356:T356)</f>
        <v>0</v>
      </c>
      <c r="V356" s="34">
        <v>0</v>
      </c>
      <c r="W356" s="34">
        <f>V356-U356</f>
        <v>0</v>
      </c>
      <c r="X356" s="35">
        <v>0</v>
      </c>
      <c r="Y356" s="34">
        <v>0</v>
      </c>
      <c r="Z356" s="87">
        <f t="shared" si="148"/>
        <v>0</v>
      </c>
      <c r="AA356" s="87">
        <f t="shared" si="148"/>
        <v>0</v>
      </c>
      <c r="AB356" s="87">
        <f t="shared" si="148"/>
        <v>0</v>
      </c>
      <c r="AC356" s="27">
        <f t="shared" si="120"/>
        <v>0</v>
      </c>
      <c r="AD356" s="26">
        <v>0</v>
      </c>
      <c r="AE356" s="26">
        <v>0</v>
      </c>
      <c r="AF356" s="26">
        <f>SUM(AC356:AE356)</f>
        <v>0</v>
      </c>
      <c r="AG356" s="34">
        <v>0</v>
      </c>
      <c r="AH356" s="34">
        <v>0</v>
      </c>
      <c r="AI356" s="34">
        <f>SUM(AF356:AH356)</f>
        <v>0</v>
      </c>
    </row>
    <row r="357" spans="1:35" ht="15.75" thickBot="1" x14ac:dyDescent="0.3">
      <c r="A357" s="164" t="s">
        <v>391</v>
      </c>
      <c r="B357" s="147"/>
      <c r="C357" s="41">
        <v>0</v>
      </c>
      <c r="D357" s="41">
        <v>0</v>
      </c>
      <c r="E357" s="42">
        <v>0</v>
      </c>
      <c r="F357" s="42">
        <v>0</v>
      </c>
      <c r="G357" s="42">
        <f>D357+E357+F357</f>
        <v>0</v>
      </c>
      <c r="H357" s="41">
        <v>0</v>
      </c>
      <c r="I357" s="42">
        <v>0</v>
      </c>
      <c r="J357" s="42">
        <v>0</v>
      </c>
      <c r="K357" s="42">
        <f>G357+H357+I357+J357</f>
        <v>0</v>
      </c>
      <c r="L357" s="41">
        <v>0</v>
      </c>
      <c r="M357" s="41">
        <v>0</v>
      </c>
      <c r="N357" s="42">
        <f>K357+L357+M357</f>
        <v>0</v>
      </c>
      <c r="O357" s="42">
        <v>0</v>
      </c>
      <c r="P357" s="42">
        <v>0</v>
      </c>
      <c r="Q357" s="42">
        <v>0</v>
      </c>
      <c r="R357" s="39">
        <f>O357+P357+Q357</f>
        <v>0</v>
      </c>
      <c r="S357" s="44">
        <v>0</v>
      </c>
      <c r="T357" s="45">
        <v>0</v>
      </c>
      <c r="U357" s="45">
        <f>SUM(R357:T357)</f>
        <v>0</v>
      </c>
      <c r="V357" s="44">
        <v>0</v>
      </c>
      <c r="W357" s="44">
        <f>V357-U357</f>
        <v>0</v>
      </c>
      <c r="X357" s="44">
        <v>0</v>
      </c>
      <c r="Y357" s="44">
        <v>0</v>
      </c>
      <c r="Z357" s="181">
        <f t="shared" si="148"/>
        <v>0</v>
      </c>
      <c r="AA357" s="181">
        <f t="shared" si="148"/>
        <v>0</v>
      </c>
      <c r="AB357" s="181">
        <f t="shared" si="148"/>
        <v>0</v>
      </c>
      <c r="AC357" s="45">
        <f t="shared" si="120"/>
        <v>0</v>
      </c>
      <c r="AD357" s="44">
        <v>0</v>
      </c>
      <c r="AE357" s="47">
        <v>0</v>
      </c>
      <c r="AF357" s="47">
        <f>SUM(AC357:AE357)</f>
        <v>0</v>
      </c>
      <c r="AG357" s="44">
        <v>0</v>
      </c>
      <c r="AH357" s="44">
        <v>0</v>
      </c>
      <c r="AI357" s="34">
        <f>SUM(AF357:AH357)</f>
        <v>0</v>
      </c>
    </row>
    <row r="358" spans="1:35" ht="15.75" thickBot="1" x14ac:dyDescent="0.3">
      <c r="A358" s="165" t="s">
        <v>247</v>
      </c>
      <c r="B358" s="155"/>
      <c r="C358" s="183" t="e">
        <f>C360+#REF!+#REF!+#REF!+C365</f>
        <v>#REF!</v>
      </c>
      <c r="D358" s="183" t="e">
        <f>D360+#REF!+#REF!+D365</f>
        <v>#REF!</v>
      </c>
      <c r="E358" s="183" t="e">
        <f>E360+#REF!+#REF!+E365</f>
        <v>#REF!</v>
      </c>
      <c r="F358" s="183" t="e">
        <f>F360+#REF!+#REF!+F365</f>
        <v>#REF!</v>
      </c>
      <c r="G358" s="183" t="e">
        <f>G360+#REF!+#REF!+#REF!+#REF!+G365</f>
        <v>#REF!</v>
      </c>
      <c r="H358" s="183" t="e">
        <f>H360+#REF!+#REF!+#REF!+#REF!+H365</f>
        <v>#REF!</v>
      </c>
      <c r="I358" s="183" t="e">
        <f>I360+#REF!+#REF!+#REF!+#REF!+I365</f>
        <v>#REF!</v>
      </c>
      <c r="J358" s="183" t="e">
        <f>J360+#REF!+#REF!+#REF!+#REF!+J365</f>
        <v>#REF!</v>
      </c>
      <c r="K358" s="187" t="e">
        <f>K360+#REF!+#REF!+#REF!+#REF!+K365</f>
        <v>#REF!</v>
      </c>
      <c r="L358" s="187" t="e">
        <f>L360+#REF!+#REF!+#REF!+#REF!+L365+#REF!</f>
        <v>#REF!</v>
      </c>
      <c r="M358" s="187" t="e">
        <f>M360+#REF!+#REF!+#REF!+#REF!+M365+#REF!</f>
        <v>#REF!</v>
      </c>
      <c r="N358" s="187" t="e">
        <f>N360+#REF!+#REF!+#REF!+#REF!+N365+#REF!</f>
        <v>#REF!</v>
      </c>
      <c r="O358" s="156" t="e">
        <f>O360+#REF!+O365+#REF!+#REF!+#REF!</f>
        <v>#REF!</v>
      </c>
      <c r="P358" s="156" t="e">
        <f>P360+#REF!+P365+#REF!+#REF!+#REF!</f>
        <v>#REF!</v>
      </c>
      <c r="Q358" s="156" t="e">
        <f>Q360+#REF!+Q365+#REF!+#REF!+#REF!</f>
        <v>#REF!</v>
      </c>
      <c r="R358" s="156" t="e">
        <f>R360+#REF!+R365+#REF!+#REF!+#REF!</f>
        <v>#REF!</v>
      </c>
      <c r="S358" s="128">
        <f t="shared" ref="S358:X358" si="153">SUM(S360:S365)</f>
        <v>0</v>
      </c>
      <c r="T358" s="129">
        <f t="shared" si="153"/>
        <v>664.2</v>
      </c>
      <c r="U358" s="129">
        <f t="shared" si="153"/>
        <v>664.2</v>
      </c>
      <c r="V358" s="128">
        <f t="shared" si="153"/>
        <v>1000</v>
      </c>
      <c r="W358" s="128">
        <f t="shared" si="153"/>
        <v>0</v>
      </c>
      <c r="X358" s="129">
        <f t="shared" si="153"/>
        <v>3470</v>
      </c>
      <c r="Y358" s="128">
        <f>SUM(Y360:Y365)</f>
        <v>0</v>
      </c>
      <c r="Z358" s="182">
        <f>SUM(Z360:Z365)</f>
        <v>4470</v>
      </c>
      <c r="AA358" s="182">
        <f>SUM(AA360:AA365)</f>
        <v>0</v>
      </c>
      <c r="AB358" s="182">
        <f>SUM(AB360:AB365)</f>
        <v>582.30999999999995</v>
      </c>
      <c r="AC358" s="129">
        <f t="shared" si="120"/>
        <v>5052.3099999999995</v>
      </c>
      <c r="AD358" s="128">
        <f>SUM(AD360:AD365)</f>
        <v>0</v>
      </c>
      <c r="AE358" s="128">
        <f>SUM(AE360:AE364)</f>
        <v>-7.87</v>
      </c>
      <c r="AF358" s="128">
        <f>SUM(AF360:AF365)</f>
        <v>4886.1099999999997</v>
      </c>
      <c r="AG358" s="128">
        <f>SUM(AG360:AG365)</f>
        <v>0</v>
      </c>
      <c r="AH358" s="128">
        <f>SUM(AH360:AH365)</f>
        <v>0</v>
      </c>
      <c r="AI358" s="128">
        <f>SUM(AF358:AH358)</f>
        <v>4886.1099999999997</v>
      </c>
    </row>
    <row r="359" spans="1:35" x14ac:dyDescent="0.25">
      <c r="A359" s="167" t="s">
        <v>59</v>
      </c>
      <c r="B359" s="137"/>
      <c r="C359" s="24"/>
      <c r="D359" s="24"/>
      <c r="E359" s="25"/>
      <c r="F359" s="25"/>
      <c r="G359" s="25"/>
      <c r="H359" s="24"/>
      <c r="I359" s="25"/>
      <c r="J359" s="25"/>
      <c r="K359" s="131"/>
      <c r="L359" s="132"/>
      <c r="M359" s="132"/>
      <c r="N359" s="131"/>
      <c r="O359" s="131"/>
      <c r="P359" s="131"/>
      <c r="Q359" s="131"/>
      <c r="R359" s="131"/>
      <c r="S359" s="26"/>
      <c r="T359" s="27"/>
      <c r="U359" s="27"/>
      <c r="V359" s="26"/>
      <c r="W359" s="26"/>
      <c r="X359" s="27"/>
      <c r="Y359" s="26"/>
      <c r="Z359" s="74"/>
      <c r="AA359" s="74"/>
      <c r="AB359" s="74"/>
      <c r="AC359" s="27"/>
      <c r="AD359" s="26"/>
      <c r="AE359" s="26"/>
      <c r="AF359" s="26"/>
      <c r="AG359" s="26"/>
      <c r="AH359" s="26"/>
      <c r="AI359" s="26"/>
    </row>
    <row r="360" spans="1:35" ht="15.75" customHeight="1" x14ac:dyDescent="0.25">
      <c r="A360" s="163" t="s">
        <v>392</v>
      </c>
      <c r="B360" s="141"/>
      <c r="C360" s="32">
        <v>0</v>
      </c>
      <c r="D360" s="32">
        <v>0</v>
      </c>
      <c r="E360" s="33">
        <v>0</v>
      </c>
      <c r="F360" s="33">
        <v>0</v>
      </c>
      <c r="G360" s="33">
        <f>D360+E360+F360</f>
        <v>0</v>
      </c>
      <c r="H360" s="32">
        <v>0</v>
      </c>
      <c r="I360" s="33">
        <v>0</v>
      </c>
      <c r="J360" s="33">
        <v>0</v>
      </c>
      <c r="K360" s="33">
        <f>G360+H360+I360+J360</f>
        <v>0</v>
      </c>
      <c r="L360" s="32">
        <v>0</v>
      </c>
      <c r="M360" s="32">
        <v>0</v>
      </c>
      <c r="N360" s="33">
        <f>K360+L360+M360</f>
        <v>0</v>
      </c>
      <c r="O360" s="33">
        <v>0</v>
      </c>
      <c r="P360" s="33">
        <v>0</v>
      </c>
      <c r="Q360" s="33">
        <v>0</v>
      </c>
      <c r="R360" s="31">
        <f>O360+P360+Q360</f>
        <v>0</v>
      </c>
      <c r="S360" s="34">
        <v>0</v>
      </c>
      <c r="T360" s="35">
        <f>664.2</f>
        <v>664.2</v>
      </c>
      <c r="U360" s="35">
        <f>SUM(R360:T360)</f>
        <v>664.2</v>
      </c>
      <c r="V360" s="34">
        <v>0</v>
      </c>
      <c r="W360" s="34">
        <v>0</v>
      </c>
      <c r="X360" s="35">
        <v>0</v>
      </c>
      <c r="Y360" s="34">
        <v>0</v>
      </c>
      <c r="Z360" s="87">
        <f t="shared" si="148"/>
        <v>0</v>
      </c>
      <c r="AA360" s="87">
        <f t="shared" si="148"/>
        <v>0</v>
      </c>
      <c r="AB360" s="87">
        <f>157.31</f>
        <v>157.31</v>
      </c>
      <c r="AC360" s="27">
        <f t="shared" si="120"/>
        <v>157.31</v>
      </c>
      <c r="AD360" s="26">
        <v>0</v>
      </c>
      <c r="AE360" s="26">
        <f>-7.87</f>
        <v>-7.87</v>
      </c>
      <c r="AF360" s="26">
        <f>SUM(AC360:AE360)</f>
        <v>149.44</v>
      </c>
      <c r="AG360" s="34">
        <v>0</v>
      </c>
      <c r="AH360" s="34">
        <v>0</v>
      </c>
      <c r="AI360" s="34">
        <f>SUM(AF360:AH360)</f>
        <v>149.44</v>
      </c>
    </row>
    <row r="361" spans="1:35" ht="14.25" customHeight="1" x14ac:dyDescent="0.25">
      <c r="A361" s="163" t="s">
        <v>393</v>
      </c>
      <c r="B361" s="141" t="s">
        <v>394</v>
      </c>
      <c r="C361" s="32"/>
      <c r="D361" s="32"/>
      <c r="E361" s="33"/>
      <c r="F361" s="33"/>
      <c r="G361" s="33"/>
      <c r="H361" s="32"/>
      <c r="I361" s="33"/>
      <c r="J361" s="33"/>
      <c r="K361" s="33"/>
      <c r="L361" s="32"/>
      <c r="M361" s="32"/>
      <c r="N361" s="33"/>
      <c r="O361" s="33"/>
      <c r="P361" s="33"/>
      <c r="Q361" s="33"/>
      <c r="R361" s="31"/>
      <c r="S361" s="34"/>
      <c r="T361" s="35"/>
      <c r="U361" s="35"/>
      <c r="V361" s="34">
        <v>0</v>
      </c>
      <c r="W361" s="34"/>
      <c r="X361" s="35"/>
      <c r="Y361" s="34"/>
      <c r="Z361" s="87">
        <v>0</v>
      </c>
      <c r="AA361" s="87">
        <v>0</v>
      </c>
      <c r="AB361" s="87">
        <f>425</f>
        <v>425</v>
      </c>
      <c r="AC361" s="27">
        <f>Z361+AA361+AB361</f>
        <v>425</v>
      </c>
      <c r="AD361" s="26">
        <v>0</v>
      </c>
      <c r="AE361" s="26">
        <v>0</v>
      </c>
      <c r="AF361" s="26">
        <f>SUM(AC361:AE361)-166.2</f>
        <v>258.8</v>
      </c>
      <c r="AG361" s="34">
        <v>0</v>
      </c>
      <c r="AH361" s="34">
        <v>0</v>
      </c>
      <c r="AI361" s="34">
        <f t="shared" ref="AI361:AI364" si="154">SUM(AF361:AH361)</f>
        <v>258.8</v>
      </c>
    </row>
    <row r="362" spans="1:35" ht="40.5" customHeight="1" x14ac:dyDescent="0.25">
      <c r="A362" s="28" t="s">
        <v>395</v>
      </c>
      <c r="B362" s="230"/>
      <c r="C362" s="223"/>
      <c r="D362" s="223"/>
      <c r="E362" s="231"/>
      <c r="F362" s="231"/>
      <c r="G362" s="231"/>
      <c r="H362" s="223"/>
      <c r="I362" s="231"/>
      <c r="J362" s="231"/>
      <c r="K362" s="231"/>
      <c r="L362" s="223"/>
      <c r="M362" s="223"/>
      <c r="N362" s="231"/>
      <c r="O362" s="231"/>
      <c r="P362" s="231"/>
      <c r="Q362" s="231"/>
      <c r="R362" s="232"/>
      <c r="S362" s="223"/>
      <c r="T362" s="231"/>
      <c r="U362" s="231"/>
      <c r="V362" s="233">
        <v>0</v>
      </c>
      <c r="W362" s="233">
        <v>0</v>
      </c>
      <c r="X362" s="234">
        <f>2600</f>
        <v>2600</v>
      </c>
      <c r="Y362" s="34">
        <v>0</v>
      </c>
      <c r="Z362" s="87">
        <f t="shared" si="148"/>
        <v>2600</v>
      </c>
      <c r="AA362" s="87">
        <v>0</v>
      </c>
      <c r="AB362" s="87">
        <v>0</v>
      </c>
      <c r="AC362" s="27">
        <f t="shared" si="120"/>
        <v>2600</v>
      </c>
      <c r="AD362" s="26">
        <v>0</v>
      </c>
      <c r="AE362" s="26">
        <v>0</v>
      </c>
      <c r="AF362" s="26">
        <f t="shared" ref="AF362:AF365" si="155">SUM(AC362:AE362)</f>
        <v>2600</v>
      </c>
      <c r="AG362" s="34">
        <v>0</v>
      </c>
      <c r="AH362" s="34">
        <v>0</v>
      </c>
      <c r="AI362" s="34">
        <f t="shared" si="154"/>
        <v>2600</v>
      </c>
    </row>
    <row r="363" spans="1:35" ht="42" customHeight="1" x14ac:dyDescent="0.25">
      <c r="A363" s="28" t="s">
        <v>396</v>
      </c>
      <c r="B363" s="235"/>
      <c r="C363" s="236"/>
      <c r="D363" s="236"/>
      <c r="E363" s="232"/>
      <c r="F363" s="232"/>
      <c r="G363" s="232"/>
      <c r="H363" s="236"/>
      <c r="I363" s="232"/>
      <c r="J363" s="232"/>
      <c r="K363" s="232"/>
      <c r="L363" s="236"/>
      <c r="M363" s="236"/>
      <c r="N363" s="232"/>
      <c r="O363" s="232"/>
      <c r="P363" s="232"/>
      <c r="Q363" s="232"/>
      <c r="R363" s="232"/>
      <c r="S363" s="236"/>
      <c r="T363" s="232"/>
      <c r="U363" s="232"/>
      <c r="V363" s="237">
        <v>0</v>
      </c>
      <c r="W363" s="237">
        <v>0</v>
      </c>
      <c r="X363" s="238">
        <f>870</f>
        <v>870</v>
      </c>
      <c r="Y363" s="76">
        <v>0</v>
      </c>
      <c r="Z363" s="87">
        <f t="shared" si="148"/>
        <v>870</v>
      </c>
      <c r="AA363" s="87">
        <v>0</v>
      </c>
      <c r="AB363" s="87">
        <v>0</v>
      </c>
      <c r="AC363" s="74">
        <f t="shared" si="120"/>
        <v>870</v>
      </c>
      <c r="AD363" s="72">
        <v>0</v>
      </c>
      <c r="AE363" s="72">
        <v>0</v>
      </c>
      <c r="AF363" s="26">
        <f>SUM(AC363:AE363)</f>
        <v>870</v>
      </c>
      <c r="AG363" s="34">
        <v>0</v>
      </c>
      <c r="AH363" s="34">
        <v>0</v>
      </c>
      <c r="AI363" s="34">
        <f t="shared" si="154"/>
        <v>870</v>
      </c>
    </row>
    <row r="364" spans="1:35" ht="26.25" customHeight="1" x14ac:dyDescent="0.25">
      <c r="A364" s="28" t="s">
        <v>397</v>
      </c>
      <c r="B364" s="141" t="s">
        <v>88</v>
      </c>
      <c r="C364" s="32"/>
      <c r="D364" s="32"/>
      <c r="E364" s="33"/>
      <c r="F364" s="33"/>
      <c r="G364" s="33"/>
      <c r="H364" s="32"/>
      <c r="I364" s="33"/>
      <c r="J364" s="33"/>
      <c r="K364" s="33"/>
      <c r="L364" s="32"/>
      <c r="M364" s="32"/>
      <c r="N364" s="33"/>
      <c r="O364" s="32">
        <v>0</v>
      </c>
      <c r="P364" s="33"/>
      <c r="Q364" s="33"/>
      <c r="R364" s="31"/>
      <c r="S364" s="32"/>
      <c r="T364" s="33"/>
      <c r="U364" s="33">
        <v>0</v>
      </c>
      <c r="V364" s="34">
        <v>1000</v>
      </c>
      <c r="W364" s="34">
        <v>0</v>
      </c>
      <c r="X364" s="35">
        <v>0</v>
      </c>
      <c r="Y364" s="34">
        <v>0</v>
      </c>
      <c r="Z364" s="87">
        <f t="shared" si="148"/>
        <v>1000</v>
      </c>
      <c r="AA364" s="87">
        <v>0</v>
      </c>
      <c r="AB364" s="87">
        <v>0</v>
      </c>
      <c r="AC364" s="27">
        <f t="shared" si="120"/>
        <v>1000</v>
      </c>
      <c r="AD364" s="26">
        <v>0</v>
      </c>
      <c r="AE364" s="26">
        <v>0</v>
      </c>
      <c r="AF364" s="26">
        <f t="shared" si="155"/>
        <v>1000</v>
      </c>
      <c r="AG364" s="34">
        <v>0</v>
      </c>
      <c r="AH364" s="34">
        <v>0</v>
      </c>
      <c r="AI364" s="34">
        <f t="shared" si="154"/>
        <v>1000</v>
      </c>
    </row>
    <row r="365" spans="1:35" ht="15.75" thickBot="1" x14ac:dyDescent="0.3">
      <c r="A365" s="164" t="s">
        <v>398</v>
      </c>
      <c r="B365" s="147"/>
      <c r="C365" s="41">
        <v>0</v>
      </c>
      <c r="D365" s="41">
        <v>0</v>
      </c>
      <c r="E365" s="42">
        <v>0</v>
      </c>
      <c r="F365" s="42">
        <v>0</v>
      </c>
      <c r="G365" s="42">
        <f>D365+E365+F365</f>
        <v>0</v>
      </c>
      <c r="H365" s="41">
        <v>0</v>
      </c>
      <c r="I365" s="42">
        <v>0</v>
      </c>
      <c r="J365" s="42">
        <v>0</v>
      </c>
      <c r="K365" s="42">
        <f>G365+H365+I365+J365</f>
        <v>0</v>
      </c>
      <c r="L365" s="41">
        <v>0</v>
      </c>
      <c r="M365" s="41">
        <v>0</v>
      </c>
      <c r="N365" s="42">
        <f>K365+L365+M365</f>
        <v>0</v>
      </c>
      <c r="O365" s="42">
        <v>0</v>
      </c>
      <c r="P365" s="42">
        <v>0</v>
      </c>
      <c r="Q365" s="42">
        <v>0</v>
      </c>
      <c r="R365" s="39">
        <f>O365+P365+Q365</f>
        <v>0</v>
      </c>
      <c r="S365" s="44">
        <v>0</v>
      </c>
      <c r="T365" s="45">
        <v>0</v>
      </c>
      <c r="U365" s="45">
        <f>SUM(R365:T365)</f>
        <v>0</v>
      </c>
      <c r="V365" s="44">
        <v>0</v>
      </c>
      <c r="W365" s="44">
        <f>V365-U365</f>
        <v>0</v>
      </c>
      <c r="X365" s="45">
        <v>0</v>
      </c>
      <c r="Y365" s="44">
        <v>0</v>
      </c>
      <c r="Z365" s="181">
        <f t="shared" si="148"/>
        <v>0</v>
      </c>
      <c r="AA365" s="181">
        <f t="shared" si="148"/>
        <v>0</v>
      </c>
      <c r="AB365" s="181">
        <f t="shared" si="148"/>
        <v>0</v>
      </c>
      <c r="AC365" s="45">
        <f t="shared" si="120"/>
        <v>0</v>
      </c>
      <c r="AD365" s="44">
        <v>0</v>
      </c>
      <c r="AE365" s="44">
        <f>7.87</f>
        <v>7.87</v>
      </c>
      <c r="AF365" s="44">
        <f t="shared" si="155"/>
        <v>7.87</v>
      </c>
      <c r="AG365" s="44">
        <v>0</v>
      </c>
      <c r="AH365" s="44">
        <v>0</v>
      </c>
      <c r="AI365" s="34">
        <f>SUM(AF365:AH365)</f>
        <v>7.87</v>
      </c>
    </row>
    <row r="366" spans="1:35" ht="15.75" thickBot="1" x14ac:dyDescent="0.3">
      <c r="A366" s="165" t="s">
        <v>309</v>
      </c>
      <c r="B366" s="155"/>
      <c r="C366" s="183" t="e">
        <f>C368+#REF!+#REF!+C369+C371</f>
        <v>#REF!</v>
      </c>
      <c r="D366" s="183" t="e">
        <f>D368+#REF!+D369+D371</f>
        <v>#REF!</v>
      </c>
      <c r="E366" s="183" t="e">
        <f>E368+#REF!+E369+E371</f>
        <v>#REF!</v>
      </c>
      <c r="F366" s="183" t="e">
        <f>F368+#REF!+F369+F371</f>
        <v>#REF!</v>
      </c>
      <c r="G366" s="183" t="e">
        <f>G368+#REF!+G369+G371</f>
        <v>#REF!</v>
      </c>
      <c r="H366" s="183" t="e">
        <f>H368+#REF!+H369+H371</f>
        <v>#REF!</v>
      </c>
      <c r="I366" s="183" t="e">
        <f>I368+#REF!+I369+I371</f>
        <v>#REF!</v>
      </c>
      <c r="J366" s="183" t="e">
        <f>J368+#REF!+J369+J371</f>
        <v>#REF!</v>
      </c>
      <c r="K366" s="183" t="e">
        <f>K368+#REF!+K369+K371</f>
        <v>#REF!</v>
      </c>
      <c r="L366" s="159" t="e">
        <f>L368+#REF!+L369+L371</f>
        <v>#REF!</v>
      </c>
      <c r="M366" s="159" t="e">
        <f>M368+#REF!+M369+M371</f>
        <v>#REF!</v>
      </c>
      <c r="N366" s="156" t="e">
        <f>N368+#REF!+N369+N371</f>
        <v>#REF!</v>
      </c>
      <c r="O366" s="129">
        <f>O368+O369+O371</f>
        <v>209557</v>
      </c>
      <c r="P366" s="129">
        <f>P368+P369+P371</f>
        <v>-2700</v>
      </c>
      <c r="Q366" s="129">
        <f>Q368+Q369+Q371</f>
        <v>11523</v>
      </c>
      <c r="R366" s="129">
        <f>R368+R369+R371</f>
        <v>221111</v>
      </c>
      <c r="S366" s="159">
        <f t="shared" ref="S366:X366" si="156">SUM(S368:S371)</f>
        <v>0</v>
      </c>
      <c r="T366" s="156">
        <f t="shared" si="156"/>
        <v>3555</v>
      </c>
      <c r="U366" s="156">
        <f t="shared" si="156"/>
        <v>224666</v>
      </c>
      <c r="V366" s="128">
        <f t="shared" si="156"/>
        <v>327193</v>
      </c>
      <c r="W366" s="128">
        <f t="shared" si="156"/>
        <v>85652</v>
      </c>
      <c r="X366" s="129">
        <f t="shared" si="156"/>
        <v>-8470</v>
      </c>
      <c r="Y366" s="128">
        <f>SUM(Y368:Y371)</f>
        <v>1200</v>
      </c>
      <c r="Z366" s="182">
        <f t="shared" si="148"/>
        <v>405575</v>
      </c>
      <c r="AA366" s="182">
        <f>SUM(AA368:AA371)</f>
        <v>0</v>
      </c>
      <c r="AB366" s="182">
        <f>SUM(AB368:AB371)</f>
        <v>492</v>
      </c>
      <c r="AC366" s="129">
        <f t="shared" si="120"/>
        <v>406067</v>
      </c>
      <c r="AD366" s="128">
        <f>SUM(AD368:AD371)</f>
        <v>0</v>
      </c>
      <c r="AE366" s="128">
        <f>SUM(AE368:AE371)</f>
        <v>-1998</v>
      </c>
      <c r="AF366" s="128">
        <f>SUM(AF368:AF371)</f>
        <v>404419</v>
      </c>
      <c r="AG366" s="128">
        <f>SUM(AG368:AG371)</f>
        <v>-153609</v>
      </c>
      <c r="AH366" s="128">
        <f>SUM(AH368:AH371)</f>
        <v>3811</v>
      </c>
      <c r="AI366" s="128">
        <f>SUM(AF366:AH366)</f>
        <v>254621</v>
      </c>
    </row>
    <row r="367" spans="1:35" x14ac:dyDescent="0.25">
      <c r="A367" s="167" t="s">
        <v>59</v>
      </c>
      <c r="B367" s="137"/>
      <c r="C367" s="24"/>
      <c r="D367" s="24"/>
      <c r="E367" s="25"/>
      <c r="F367" s="25"/>
      <c r="G367" s="25"/>
      <c r="H367" s="24"/>
      <c r="I367" s="25"/>
      <c r="J367" s="25"/>
      <c r="K367" s="131"/>
      <c r="L367" s="132"/>
      <c r="M367" s="132"/>
      <c r="N367" s="131"/>
      <c r="O367" s="131"/>
      <c r="P367" s="131"/>
      <c r="Q367" s="131"/>
      <c r="R367" s="131"/>
      <c r="S367" s="26"/>
      <c r="T367" s="27"/>
      <c r="U367" s="27"/>
      <c r="V367" s="26"/>
      <c r="W367" s="26"/>
      <c r="X367" s="27"/>
      <c r="Y367" s="26"/>
      <c r="Z367" s="74"/>
      <c r="AA367" s="74"/>
      <c r="AB367" s="74"/>
      <c r="AC367" s="27"/>
      <c r="AD367" s="26"/>
      <c r="AE367" s="26"/>
      <c r="AF367" s="26"/>
      <c r="AG367" s="26"/>
      <c r="AH367" s="26"/>
      <c r="AI367" s="26"/>
    </row>
    <row r="368" spans="1:35" ht="15.75" customHeight="1" x14ac:dyDescent="0.25">
      <c r="A368" s="163" t="s">
        <v>399</v>
      </c>
      <c r="B368" s="141"/>
      <c r="C368" s="32">
        <v>0</v>
      </c>
      <c r="D368" s="32">
        <v>0</v>
      </c>
      <c r="E368" s="33">
        <v>0</v>
      </c>
      <c r="F368" s="33">
        <v>0</v>
      </c>
      <c r="G368" s="33">
        <f>D368+E368+F368</f>
        <v>0</v>
      </c>
      <c r="H368" s="32">
        <v>0</v>
      </c>
      <c r="I368" s="33">
        <v>0</v>
      </c>
      <c r="J368" s="33">
        <v>0</v>
      </c>
      <c r="K368" s="33">
        <f>G368+H368+I368+J368</f>
        <v>0</v>
      </c>
      <c r="L368" s="32">
        <v>0</v>
      </c>
      <c r="M368" s="32">
        <v>0</v>
      </c>
      <c r="N368" s="33">
        <f>K368+L368+M368</f>
        <v>0</v>
      </c>
      <c r="O368" s="33">
        <v>0</v>
      </c>
      <c r="P368" s="33">
        <v>0</v>
      </c>
      <c r="Q368" s="33">
        <v>0</v>
      </c>
      <c r="R368" s="31">
        <f>O368+P368+Q368</f>
        <v>0</v>
      </c>
      <c r="S368" s="34">
        <v>0</v>
      </c>
      <c r="T368" s="35">
        <f>18227</f>
        <v>18227</v>
      </c>
      <c r="U368" s="35">
        <f>SUM(R368:T368)</f>
        <v>18227</v>
      </c>
      <c r="V368" s="34">
        <v>99757</v>
      </c>
      <c r="W368" s="34">
        <f>3603+2</f>
        <v>3605</v>
      </c>
      <c r="X368" s="35">
        <v>0</v>
      </c>
      <c r="Y368" s="34">
        <v>0</v>
      </c>
      <c r="Z368" s="87">
        <f t="shared" si="148"/>
        <v>103362</v>
      </c>
      <c r="AA368" s="87">
        <v>0</v>
      </c>
      <c r="AB368" s="87">
        <f>152</f>
        <v>152</v>
      </c>
      <c r="AC368" s="27">
        <f t="shared" si="120"/>
        <v>103514</v>
      </c>
      <c r="AD368" s="26">
        <v>0</v>
      </c>
      <c r="AE368" s="26">
        <v>0</v>
      </c>
      <c r="AF368" s="26">
        <f>SUM(AC368:AE368)</f>
        <v>103514</v>
      </c>
      <c r="AG368" s="34">
        <f>5525-42498</f>
        <v>-36973</v>
      </c>
      <c r="AH368" s="34">
        <f>4755-497</f>
        <v>4258</v>
      </c>
      <c r="AI368" s="34">
        <f>SUM(AF368:AH368)</f>
        <v>70799</v>
      </c>
    </row>
    <row r="369" spans="1:35" x14ac:dyDescent="0.25">
      <c r="A369" s="163" t="s">
        <v>360</v>
      </c>
      <c r="B369" s="141"/>
      <c r="C369" s="32">
        <v>254466.7</v>
      </c>
      <c r="D369" s="32">
        <v>166750</v>
      </c>
      <c r="E369" s="33">
        <f>641+350+1000</f>
        <v>1991</v>
      </c>
      <c r="F369" s="33">
        <v>32976</v>
      </c>
      <c r="G369" s="33">
        <f>D369+E369+F369-2153+650-103-397</f>
        <v>199714</v>
      </c>
      <c r="H369" s="32">
        <v>3100</v>
      </c>
      <c r="I369" s="33">
        <v>0</v>
      </c>
      <c r="J369" s="33">
        <v>0</v>
      </c>
      <c r="K369" s="33">
        <v>202814</v>
      </c>
      <c r="L369" s="32">
        <f>-2006.35-650</f>
        <v>-2656.35</v>
      </c>
      <c r="M369" s="32">
        <v>0</v>
      </c>
      <c r="N369" s="33">
        <f>K369+L369+M369</f>
        <v>200157.65</v>
      </c>
      <c r="O369" s="33">
        <v>193999</v>
      </c>
      <c r="P369" s="33">
        <f>12858-100-600+700</f>
        <v>12858</v>
      </c>
      <c r="Q369" s="33">
        <v>11523</v>
      </c>
      <c r="R369" s="31">
        <f>SUM(O369:Q369)+6000-3269</f>
        <v>221111</v>
      </c>
      <c r="S369" s="34">
        <v>0</v>
      </c>
      <c r="T369" s="35">
        <f>-14672</f>
        <v>-14672</v>
      </c>
      <c r="U369" s="35">
        <f>SUM(R369:T369)</f>
        <v>206439</v>
      </c>
      <c r="V369" s="44">
        <v>227436</v>
      </c>
      <c r="W369" s="34">
        <f>-1420+27467</f>
        <v>26047</v>
      </c>
      <c r="X369" s="35">
        <v>0</v>
      </c>
      <c r="Y369" s="34">
        <f>1200</f>
        <v>1200</v>
      </c>
      <c r="Z369" s="87">
        <f t="shared" si="148"/>
        <v>254683</v>
      </c>
      <c r="AA369" s="87">
        <v>0</v>
      </c>
      <c r="AB369" s="87">
        <f>-139+0+2147-1516-152</f>
        <v>340</v>
      </c>
      <c r="AC369" s="27">
        <f t="shared" si="120"/>
        <v>255023</v>
      </c>
      <c r="AD369" s="26">
        <v>0</v>
      </c>
      <c r="AE369" s="26">
        <f>-3883-131+2016</f>
        <v>-1998</v>
      </c>
      <c r="AF369" s="26">
        <f>SUM(AC369:AE369)+301+49</f>
        <v>253375</v>
      </c>
      <c r="AG369" s="34">
        <f>-1092-5525-15169-89818+42498</f>
        <v>-69106</v>
      </c>
      <c r="AH369" s="34">
        <f>-4605-447</f>
        <v>-5052</v>
      </c>
      <c r="AI369" s="34">
        <f t="shared" ref="AI369:AI371" si="157">SUM(AF369:AH369)</f>
        <v>179217</v>
      </c>
    </row>
    <row r="370" spans="1:35" x14ac:dyDescent="0.25">
      <c r="A370" s="163" t="s">
        <v>400</v>
      </c>
      <c r="B370" s="141"/>
      <c r="C370" s="32"/>
      <c r="D370" s="32"/>
      <c r="E370" s="33"/>
      <c r="F370" s="33"/>
      <c r="G370" s="33"/>
      <c r="H370" s="32"/>
      <c r="I370" s="33"/>
      <c r="J370" s="33"/>
      <c r="K370" s="33"/>
      <c r="L370" s="32"/>
      <c r="M370" s="32"/>
      <c r="N370" s="33"/>
      <c r="O370" s="33"/>
      <c r="P370" s="33"/>
      <c r="Q370" s="33"/>
      <c r="R370" s="31"/>
      <c r="S370" s="34"/>
      <c r="T370" s="35"/>
      <c r="U370" s="35"/>
      <c r="V370" s="34">
        <v>0</v>
      </c>
      <c r="W370" s="34">
        <f>56000</f>
        <v>56000</v>
      </c>
      <c r="X370" s="35">
        <f>-5000-3470</f>
        <v>-8470</v>
      </c>
      <c r="Y370" s="34">
        <v>0</v>
      </c>
      <c r="Z370" s="87">
        <f t="shared" si="148"/>
        <v>47530</v>
      </c>
      <c r="AA370" s="87">
        <v>0</v>
      </c>
      <c r="AB370" s="87">
        <v>0</v>
      </c>
      <c r="AC370" s="27">
        <f t="shared" si="120"/>
        <v>47530</v>
      </c>
      <c r="AD370" s="26">
        <v>0</v>
      </c>
      <c r="AE370" s="26">
        <v>0</v>
      </c>
      <c r="AF370" s="26">
        <f>SUM(AC370:AE370)</f>
        <v>47530</v>
      </c>
      <c r="AG370" s="34">
        <f>-47530</f>
        <v>-47530</v>
      </c>
      <c r="AH370" s="34">
        <f>4605</f>
        <v>4605</v>
      </c>
      <c r="AI370" s="34">
        <f t="shared" si="157"/>
        <v>4605</v>
      </c>
    </row>
    <row r="371" spans="1:35" ht="14.25" customHeight="1" thickBot="1" x14ac:dyDescent="0.3">
      <c r="A371" s="164" t="s">
        <v>401</v>
      </c>
      <c r="B371" s="147"/>
      <c r="C371" s="41">
        <v>0</v>
      </c>
      <c r="D371" s="41">
        <v>11500</v>
      </c>
      <c r="E371" s="42">
        <v>0</v>
      </c>
      <c r="F371" s="42">
        <v>0</v>
      </c>
      <c r="G371" s="42">
        <f>D371+E371+F371</f>
        <v>11500</v>
      </c>
      <c r="H371" s="41">
        <v>0</v>
      </c>
      <c r="I371" s="42">
        <v>0</v>
      </c>
      <c r="J371" s="42">
        <v>0</v>
      </c>
      <c r="K371" s="42">
        <f>G371+H371+I371+J371</f>
        <v>11500</v>
      </c>
      <c r="L371" s="41">
        <v>0</v>
      </c>
      <c r="M371" s="41">
        <v>0</v>
      </c>
      <c r="N371" s="42">
        <f>K371+L371+M371</f>
        <v>11500</v>
      </c>
      <c r="O371" s="41">
        <v>15558</v>
      </c>
      <c r="P371" s="42">
        <v>-15558</v>
      </c>
      <c r="Q371" s="42">
        <v>0</v>
      </c>
      <c r="R371" s="39">
        <f>O371+P371+Q371</f>
        <v>0</v>
      </c>
      <c r="S371" s="44">
        <v>0</v>
      </c>
      <c r="T371" s="45">
        <v>0</v>
      </c>
      <c r="U371" s="45">
        <f>SUM(R371:T371)</f>
        <v>0</v>
      </c>
      <c r="V371" s="44">
        <v>0</v>
      </c>
      <c r="W371" s="44">
        <f>V371-U371</f>
        <v>0</v>
      </c>
      <c r="X371" s="45">
        <v>0</v>
      </c>
      <c r="Y371" s="44">
        <v>0</v>
      </c>
      <c r="Z371" s="181">
        <f t="shared" si="148"/>
        <v>0</v>
      </c>
      <c r="AA371" s="181">
        <f t="shared" si="148"/>
        <v>0</v>
      </c>
      <c r="AB371" s="181">
        <f t="shared" si="148"/>
        <v>0</v>
      </c>
      <c r="AC371" s="46">
        <f t="shared" si="120"/>
        <v>0</v>
      </c>
      <c r="AD371" s="47">
        <v>0</v>
      </c>
      <c r="AE371" s="47">
        <v>0</v>
      </c>
      <c r="AF371" s="47">
        <f t="shared" ref="AF371" si="158">SUM(AC371:AE371)</f>
        <v>0</v>
      </c>
      <c r="AG371" s="44">
        <v>0</v>
      </c>
      <c r="AH371" s="44">
        <v>0</v>
      </c>
      <c r="AI371" s="34">
        <f t="shared" si="157"/>
        <v>0</v>
      </c>
    </row>
    <row r="372" spans="1:35" ht="15.75" thickBot="1" x14ac:dyDescent="0.3">
      <c r="A372" s="165" t="s">
        <v>312</v>
      </c>
      <c r="B372" s="155"/>
      <c r="C372" s="183">
        <f>C374+C379+C381</f>
        <v>1199.55</v>
      </c>
      <c r="D372" s="183">
        <f>D374+D379+D381</f>
        <v>1200</v>
      </c>
      <c r="E372" s="183">
        <f>E374+E379+E381</f>
        <v>-500</v>
      </c>
      <c r="F372" s="183">
        <f>F374+F379+F381</f>
        <v>196.25</v>
      </c>
      <c r="G372" s="187">
        <f>D372+E372+F372</f>
        <v>896.25</v>
      </c>
      <c r="H372" s="183">
        <f>H374+H379+H381</f>
        <v>0</v>
      </c>
      <c r="I372" s="183">
        <f>I374+I379+I381</f>
        <v>0</v>
      </c>
      <c r="J372" s="183">
        <f>J374+J379+J381</f>
        <v>0</v>
      </c>
      <c r="K372" s="156">
        <f>G372+H372+I372+J372</f>
        <v>896.25</v>
      </c>
      <c r="L372" s="159">
        <f t="shared" ref="L372:R372" si="159">L374+L379+L381</f>
        <v>-7.4399999999999977</v>
      </c>
      <c r="M372" s="159">
        <f t="shared" si="159"/>
        <v>0</v>
      </c>
      <c r="N372" s="156">
        <f t="shared" si="159"/>
        <v>888.81</v>
      </c>
      <c r="O372" s="156">
        <f t="shared" si="159"/>
        <v>1000</v>
      </c>
      <c r="P372" s="156">
        <f t="shared" si="159"/>
        <v>-108.9</v>
      </c>
      <c r="Q372" s="156">
        <f t="shared" si="159"/>
        <v>315.81</v>
      </c>
      <c r="R372" s="156">
        <f t="shared" si="159"/>
        <v>1206.9100000000001</v>
      </c>
      <c r="S372" s="128">
        <f t="shared" ref="S372:Y372" si="160">SUM(S374:S381)</f>
        <v>-200</v>
      </c>
      <c r="T372" s="129">
        <f t="shared" si="160"/>
        <v>0</v>
      </c>
      <c r="U372" s="129">
        <f t="shared" si="160"/>
        <v>1006.9100000000001</v>
      </c>
      <c r="V372" s="128">
        <f t="shared" si="160"/>
        <v>3870.7</v>
      </c>
      <c r="W372" s="128">
        <f t="shared" si="160"/>
        <v>2860.15</v>
      </c>
      <c r="X372" s="129">
        <f t="shared" si="160"/>
        <v>0</v>
      </c>
      <c r="Y372" s="128">
        <f t="shared" si="160"/>
        <v>0</v>
      </c>
      <c r="Z372" s="182">
        <f t="shared" si="148"/>
        <v>6730.85</v>
      </c>
      <c r="AA372" s="182">
        <f>SUM(AA374:AA381)</f>
        <v>0</v>
      </c>
      <c r="AB372" s="182">
        <f>SUM(AB374:AB381)</f>
        <v>59.74</v>
      </c>
      <c r="AC372" s="129">
        <f>Z372+AA372+AB372</f>
        <v>6790.59</v>
      </c>
      <c r="AD372" s="128">
        <f>SUM(AD374:AD381)</f>
        <v>-4720</v>
      </c>
      <c r="AE372" s="128">
        <f>SUM(AE374:AE381)</f>
        <v>0</v>
      </c>
      <c r="AF372" s="128">
        <f>SUM(AF374:AF381)</f>
        <v>2070.59</v>
      </c>
      <c r="AG372" s="128">
        <f>SUM(AG374:AG381)</f>
        <v>-500</v>
      </c>
      <c r="AH372" s="128">
        <f>SUM(AH374:AH381)</f>
        <v>0</v>
      </c>
      <c r="AI372" s="128">
        <f>SUM(AF372:AH372)</f>
        <v>1570.5900000000001</v>
      </c>
    </row>
    <row r="373" spans="1:35" x14ac:dyDescent="0.25">
      <c r="A373" s="167" t="s">
        <v>59</v>
      </c>
      <c r="B373" s="137"/>
      <c r="C373" s="24"/>
      <c r="D373" s="24"/>
      <c r="E373" s="25"/>
      <c r="F373" s="25"/>
      <c r="G373" s="25"/>
      <c r="H373" s="24"/>
      <c r="I373" s="25"/>
      <c r="J373" s="25"/>
      <c r="K373" s="131"/>
      <c r="L373" s="132"/>
      <c r="M373" s="132"/>
      <c r="N373" s="131"/>
      <c r="O373" s="131"/>
      <c r="P373" s="131"/>
      <c r="Q373" s="131"/>
      <c r="R373" s="131"/>
      <c r="S373" s="26"/>
      <c r="T373" s="27"/>
      <c r="U373" s="27"/>
      <c r="V373" s="26"/>
      <c r="W373" s="26"/>
      <c r="X373" s="27"/>
      <c r="Y373" s="26"/>
      <c r="Z373" s="27"/>
      <c r="AA373" s="27"/>
      <c r="AB373" s="27"/>
      <c r="AC373" s="27"/>
      <c r="AD373" s="26"/>
      <c r="AE373" s="26"/>
      <c r="AF373" s="26"/>
      <c r="AG373" s="26"/>
      <c r="AH373" s="26"/>
      <c r="AI373" s="26"/>
    </row>
    <row r="374" spans="1:35" ht="25.5" customHeight="1" x14ac:dyDescent="0.25">
      <c r="A374" s="28" t="s">
        <v>402</v>
      </c>
      <c r="B374" s="162"/>
      <c r="C374" s="32">
        <v>0</v>
      </c>
      <c r="D374" s="32">
        <v>0</v>
      </c>
      <c r="E374" s="33">
        <v>0</v>
      </c>
      <c r="F374" s="33">
        <v>0</v>
      </c>
      <c r="G374" s="33">
        <f>D374+E374+F374</f>
        <v>0</v>
      </c>
      <c r="H374" s="32">
        <v>0</v>
      </c>
      <c r="I374" s="33">
        <v>0</v>
      </c>
      <c r="J374" s="33">
        <v>0</v>
      </c>
      <c r="K374" s="33">
        <f>G374+H374+I374+J374</f>
        <v>0</v>
      </c>
      <c r="L374" s="32">
        <v>0</v>
      </c>
      <c r="M374" s="32">
        <v>0</v>
      </c>
      <c r="N374" s="33">
        <f>K374+L374+M374</f>
        <v>0</v>
      </c>
      <c r="O374" s="33">
        <v>0</v>
      </c>
      <c r="P374" s="33">
        <v>0</v>
      </c>
      <c r="Q374" s="33">
        <v>0</v>
      </c>
      <c r="R374" s="31">
        <f>O374+P374+Q374</f>
        <v>0</v>
      </c>
      <c r="S374" s="32">
        <v>0</v>
      </c>
      <c r="T374" s="33">
        <v>0</v>
      </c>
      <c r="U374" s="33">
        <f>SUM(R374:T374)</f>
        <v>0</v>
      </c>
      <c r="V374" s="34">
        <v>0</v>
      </c>
      <c r="W374" s="34">
        <f>V374-U374</f>
        <v>0</v>
      </c>
      <c r="X374" s="35">
        <v>0</v>
      </c>
      <c r="Y374" s="34">
        <v>0</v>
      </c>
      <c r="Z374" s="87">
        <f>SUM(V374:Y374)</f>
        <v>0</v>
      </c>
      <c r="AA374" s="87">
        <f>SUM(W374:Z374)</f>
        <v>0</v>
      </c>
      <c r="AB374" s="87">
        <f>SUM(X374:AA374)</f>
        <v>0</v>
      </c>
      <c r="AC374" s="27">
        <f t="shared" ref="AC374:AC407" si="161">Z374+AA374+AB374</f>
        <v>0</v>
      </c>
      <c r="AD374" s="26">
        <v>0</v>
      </c>
      <c r="AE374" s="26">
        <v>0</v>
      </c>
      <c r="AF374" s="26">
        <f>SUM(AC374:AE374)</f>
        <v>0</v>
      </c>
      <c r="AG374" s="34">
        <v>0</v>
      </c>
      <c r="AH374" s="34">
        <v>0</v>
      </c>
      <c r="AI374" s="34">
        <f>SUM(AF374:AH374)</f>
        <v>0</v>
      </c>
    </row>
    <row r="375" spans="1:35" ht="27.75" customHeight="1" x14ac:dyDescent="0.25">
      <c r="A375" s="28" t="s">
        <v>403</v>
      </c>
      <c r="B375" s="239" t="s">
        <v>404</v>
      </c>
      <c r="C375" s="32"/>
      <c r="D375" s="32"/>
      <c r="E375" s="33"/>
      <c r="F375" s="33"/>
      <c r="G375" s="33"/>
      <c r="H375" s="32"/>
      <c r="I375" s="33"/>
      <c r="J375" s="33"/>
      <c r="K375" s="33"/>
      <c r="L375" s="32"/>
      <c r="M375" s="32"/>
      <c r="N375" s="33"/>
      <c r="O375" s="33">
        <v>0</v>
      </c>
      <c r="P375" s="33"/>
      <c r="Q375" s="33"/>
      <c r="R375" s="31"/>
      <c r="S375" s="32"/>
      <c r="T375" s="33"/>
      <c r="U375" s="33">
        <v>0</v>
      </c>
      <c r="V375" s="34">
        <v>2500</v>
      </c>
      <c r="W375" s="34">
        <f>2500</f>
        <v>2500</v>
      </c>
      <c r="X375" s="35">
        <v>0</v>
      </c>
      <c r="Y375" s="34">
        <v>0</v>
      </c>
      <c r="Z375" s="87">
        <f t="shared" ref="Z375:AB394" si="162">SUM(V375:Y375)</f>
        <v>5000</v>
      </c>
      <c r="AA375" s="87">
        <v>0</v>
      </c>
      <c r="AB375" s="87">
        <v>0</v>
      </c>
      <c r="AC375" s="27">
        <f t="shared" si="161"/>
        <v>5000</v>
      </c>
      <c r="AD375" s="26">
        <v>-4475</v>
      </c>
      <c r="AE375" s="26">
        <v>0</v>
      </c>
      <c r="AF375" s="26">
        <f t="shared" ref="AF375:AF381" si="163">SUM(AC375:AE375)</f>
        <v>525</v>
      </c>
      <c r="AG375" s="34">
        <v>0</v>
      </c>
      <c r="AH375" s="34">
        <v>0</v>
      </c>
      <c r="AI375" s="34">
        <f t="shared" ref="AI375:AI380" si="164">SUM(AF375:AH375)</f>
        <v>525</v>
      </c>
    </row>
    <row r="376" spans="1:35" ht="27.75" customHeight="1" x14ac:dyDescent="0.25">
      <c r="A376" s="28" t="s">
        <v>405</v>
      </c>
      <c r="B376" s="239" t="s">
        <v>406</v>
      </c>
      <c r="C376" s="32"/>
      <c r="D376" s="32"/>
      <c r="E376" s="33"/>
      <c r="F376" s="33"/>
      <c r="G376" s="33"/>
      <c r="H376" s="32"/>
      <c r="I376" s="33"/>
      <c r="J376" s="33"/>
      <c r="K376" s="33"/>
      <c r="L376" s="32"/>
      <c r="M376" s="32"/>
      <c r="N376" s="33"/>
      <c r="O376" s="33">
        <v>0</v>
      </c>
      <c r="P376" s="33"/>
      <c r="Q376" s="33"/>
      <c r="R376" s="31"/>
      <c r="S376" s="32"/>
      <c r="T376" s="33"/>
      <c r="U376" s="33">
        <v>0</v>
      </c>
      <c r="V376" s="34">
        <v>370.7</v>
      </c>
      <c r="W376" s="34">
        <f>-150</f>
        <v>-150</v>
      </c>
      <c r="X376" s="35">
        <v>0</v>
      </c>
      <c r="Y376" s="34">
        <v>0</v>
      </c>
      <c r="Z376" s="87">
        <f t="shared" si="162"/>
        <v>220.7</v>
      </c>
      <c r="AA376" s="87">
        <v>0</v>
      </c>
      <c r="AB376" s="87">
        <v>0</v>
      </c>
      <c r="AC376" s="27">
        <f t="shared" si="161"/>
        <v>220.7</v>
      </c>
      <c r="AD376" s="26">
        <v>0</v>
      </c>
      <c r="AE376" s="26">
        <v>0</v>
      </c>
      <c r="AF376" s="26">
        <f>SUM(AC376:AE376)</f>
        <v>220.7</v>
      </c>
      <c r="AG376" s="34">
        <v>0</v>
      </c>
      <c r="AH376" s="34">
        <v>0</v>
      </c>
      <c r="AI376" s="34">
        <f t="shared" si="164"/>
        <v>220.7</v>
      </c>
    </row>
    <row r="377" spans="1:35" ht="38.25" customHeight="1" x14ac:dyDescent="0.25">
      <c r="A377" s="28" t="s">
        <v>407</v>
      </c>
      <c r="B377" s="239"/>
      <c r="C377" s="32"/>
      <c r="D377" s="32"/>
      <c r="E377" s="33"/>
      <c r="F377" s="33"/>
      <c r="G377" s="33"/>
      <c r="H377" s="32"/>
      <c r="I377" s="33"/>
      <c r="J377" s="33"/>
      <c r="K377" s="33"/>
      <c r="L377" s="32"/>
      <c r="M377" s="32"/>
      <c r="N377" s="33"/>
      <c r="O377" s="33"/>
      <c r="P377" s="33"/>
      <c r="Q377" s="33"/>
      <c r="R377" s="31"/>
      <c r="S377" s="32"/>
      <c r="T377" s="33"/>
      <c r="U377" s="33"/>
      <c r="V377" s="34">
        <v>0</v>
      </c>
      <c r="W377" s="34">
        <f>200</f>
        <v>200</v>
      </c>
      <c r="X377" s="35">
        <v>0</v>
      </c>
      <c r="Y377" s="34">
        <v>0</v>
      </c>
      <c r="Z377" s="87">
        <f t="shared" si="162"/>
        <v>200</v>
      </c>
      <c r="AA377" s="87">
        <v>0</v>
      </c>
      <c r="AB377" s="87">
        <v>0</v>
      </c>
      <c r="AC377" s="27">
        <f t="shared" si="161"/>
        <v>200</v>
      </c>
      <c r="AD377" s="26">
        <v>0</v>
      </c>
      <c r="AE377" s="26">
        <v>0</v>
      </c>
      <c r="AF377" s="26">
        <f t="shared" si="163"/>
        <v>200</v>
      </c>
      <c r="AG377" s="34">
        <v>0</v>
      </c>
      <c r="AH377" s="34">
        <v>0</v>
      </c>
      <c r="AI377" s="34">
        <f t="shared" si="164"/>
        <v>200</v>
      </c>
    </row>
    <row r="378" spans="1:35" ht="40.5" customHeight="1" x14ac:dyDescent="0.25">
      <c r="A378" s="28" t="s">
        <v>408</v>
      </c>
      <c r="B378" s="239"/>
      <c r="C378" s="32"/>
      <c r="D378" s="32"/>
      <c r="E378" s="33"/>
      <c r="F378" s="33"/>
      <c r="G378" s="33"/>
      <c r="H378" s="32"/>
      <c r="I378" s="33"/>
      <c r="J378" s="33"/>
      <c r="K378" s="33"/>
      <c r="L378" s="32"/>
      <c r="M378" s="32"/>
      <c r="N378" s="33"/>
      <c r="O378" s="33"/>
      <c r="P378" s="33"/>
      <c r="Q378" s="33"/>
      <c r="R378" s="31"/>
      <c r="S378" s="32"/>
      <c r="T378" s="33"/>
      <c r="U378" s="33"/>
      <c r="V378" s="34">
        <v>0</v>
      </c>
      <c r="W378" s="34">
        <f>100</f>
        <v>100</v>
      </c>
      <c r="X378" s="35">
        <v>0</v>
      </c>
      <c r="Y378" s="34">
        <v>0</v>
      </c>
      <c r="Z378" s="87">
        <f t="shared" si="162"/>
        <v>100</v>
      </c>
      <c r="AA378" s="87">
        <v>0</v>
      </c>
      <c r="AB378" s="87">
        <v>0</v>
      </c>
      <c r="AC378" s="27">
        <f t="shared" si="161"/>
        <v>100</v>
      </c>
      <c r="AD378" s="26">
        <v>0</v>
      </c>
      <c r="AE378" s="26">
        <v>0</v>
      </c>
      <c r="AF378" s="26">
        <f t="shared" si="163"/>
        <v>100</v>
      </c>
      <c r="AG378" s="34">
        <v>0</v>
      </c>
      <c r="AH378" s="34">
        <v>0</v>
      </c>
      <c r="AI378" s="34">
        <f t="shared" si="164"/>
        <v>100</v>
      </c>
    </row>
    <row r="379" spans="1:35" ht="17.25" customHeight="1" x14ac:dyDescent="0.25">
      <c r="A379" s="163" t="s">
        <v>409</v>
      </c>
      <c r="B379" s="141"/>
      <c r="C379" s="32">
        <v>696.25</v>
      </c>
      <c r="D379" s="32">
        <v>1200</v>
      </c>
      <c r="E379" s="33">
        <v>-500</v>
      </c>
      <c r="F379" s="33">
        <v>196.25</v>
      </c>
      <c r="G379" s="33">
        <f>D379+E379+F379</f>
        <v>896.25</v>
      </c>
      <c r="H379" s="32">
        <v>0</v>
      </c>
      <c r="I379" s="33">
        <v>0</v>
      </c>
      <c r="J379" s="33">
        <v>0</v>
      </c>
      <c r="K379" s="33">
        <f>G379+H379+I379+J379</f>
        <v>896.25</v>
      </c>
      <c r="L379" s="32">
        <v>-77.44</v>
      </c>
      <c r="M379" s="32">
        <v>0</v>
      </c>
      <c r="N379" s="33">
        <f>K379+L379+M379</f>
        <v>818.81</v>
      </c>
      <c r="O379" s="33">
        <v>1000</v>
      </c>
      <c r="P379" s="33">
        <f>-108.9</f>
        <v>-108.9</v>
      </c>
      <c r="Q379" s="33">
        <v>315.81</v>
      </c>
      <c r="R379" s="33">
        <f>O379+P379+Q379</f>
        <v>1206.9100000000001</v>
      </c>
      <c r="S379" s="32">
        <v>-200</v>
      </c>
      <c r="T379" s="33">
        <v>0</v>
      </c>
      <c r="U379" s="33">
        <f>SUM(R379:T379)</f>
        <v>1006.9100000000001</v>
      </c>
      <c r="V379" s="34">
        <v>1000</v>
      </c>
      <c r="W379" s="34">
        <f>-442.03-24.45-10.17+686.8</f>
        <v>210.14999999999998</v>
      </c>
      <c r="X379" s="35">
        <v>0</v>
      </c>
      <c r="Y379" s="34">
        <v>0</v>
      </c>
      <c r="Z379" s="87">
        <f t="shared" si="162"/>
        <v>1210.1500000000001</v>
      </c>
      <c r="AA379" s="87">
        <v>0</v>
      </c>
      <c r="AB379" s="87">
        <f>-60.26</f>
        <v>-60.26</v>
      </c>
      <c r="AC379" s="27">
        <f t="shared" si="161"/>
        <v>1149.8900000000001</v>
      </c>
      <c r="AD379" s="26">
        <v>-245</v>
      </c>
      <c r="AE379" s="26">
        <v>0</v>
      </c>
      <c r="AF379" s="26">
        <f t="shared" si="163"/>
        <v>904.8900000000001</v>
      </c>
      <c r="AG379" s="34">
        <f>-500</f>
        <v>-500</v>
      </c>
      <c r="AH379" s="34">
        <v>0</v>
      </c>
      <c r="AI379" s="34">
        <f t="shared" si="164"/>
        <v>404.8900000000001</v>
      </c>
    </row>
    <row r="380" spans="1:35" ht="16.5" customHeight="1" x14ac:dyDescent="0.25">
      <c r="A380" s="163" t="s">
        <v>360</v>
      </c>
      <c r="B380" s="141"/>
      <c r="C380" s="32"/>
      <c r="D380" s="32"/>
      <c r="E380" s="33"/>
      <c r="F380" s="33"/>
      <c r="G380" s="33"/>
      <c r="H380" s="32"/>
      <c r="I380" s="33"/>
      <c r="J380" s="33"/>
      <c r="K380" s="33"/>
      <c r="L380" s="32"/>
      <c r="M380" s="32"/>
      <c r="N380" s="33"/>
      <c r="O380" s="33"/>
      <c r="P380" s="33"/>
      <c r="Q380" s="33"/>
      <c r="R380" s="33"/>
      <c r="S380" s="32"/>
      <c r="T380" s="33"/>
      <c r="U380" s="33"/>
      <c r="V380" s="34">
        <v>0</v>
      </c>
      <c r="W380" s="34"/>
      <c r="X380" s="35"/>
      <c r="Y380" s="34"/>
      <c r="Z380" s="87">
        <v>0</v>
      </c>
      <c r="AA380" s="87">
        <v>0</v>
      </c>
      <c r="AB380" s="87">
        <f>120</f>
        <v>120</v>
      </c>
      <c r="AC380" s="35">
        <f>Z380+AA380+AB380</f>
        <v>120</v>
      </c>
      <c r="AD380" s="34">
        <v>0</v>
      </c>
      <c r="AE380" s="34">
        <v>0</v>
      </c>
      <c r="AF380" s="26">
        <f t="shared" si="163"/>
        <v>120</v>
      </c>
      <c r="AG380" s="34">
        <v>0</v>
      </c>
      <c r="AH380" s="34">
        <v>0</v>
      </c>
      <c r="AI380" s="34">
        <f t="shared" si="164"/>
        <v>120</v>
      </c>
    </row>
    <row r="381" spans="1:35" ht="33" customHeight="1" thickBot="1" x14ac:dyDescent="0.3">
      <c r="A381" s="36" t="s">
        <v>410</v>
      </c>
      <c r="B381" s="147"/>
      <c r="C381" s="41">
        <v>503.3</v>
      </c>
      <c r="D381" s="41">
        <v>0</v>
      </c>
      <c r="E381" s="42">
        <v>0</v>
      </c>
      <c r="F381" s="42">
        <v>0</v>
      </c>
      <c r="G381" s="42">
        <f>D381+E381+F381</f>
        <v>0</v>
      </c>
      <c r="H381" s="41">
        <v>0</v>
      </c>
      <c r="I381" s="42">
        <v>0</v>
      </c>
      <c r="J381" s="42">
        <v>0</v>
      </c>
      <c r="K381" s="42">
        <f>G381+H381+I381+J381</f>
        <v>0</v>
      </c>
      <c r="L381" s="41">
        <v>70</v>
      </c>
      <c r="M381" s="41">
        <v>0</v>
      </c>
      <c r="N381" s="42">
        <f>K381+L381+M381</f>
        <v>70</v>
      </c>
      <c r="O381" s="42">
        <v>0</v>
      </c>
      <c r="P381" s="42">
        <v>0</v>
      </c>
      <c r="Q381" s="42">
        <v>0</v>
      </c>
      <c r="R381" s="39">
        <f>O381+P381+Q381</f>
        <v>0</v>
      </c>
      <c r="S381" s="41">
        <v>0</v>
      </c>
      <c r="T381" s="42">
        <v>0</v>
      </c>
      <c r="U381" s="42">
        <f>SUM(R381:T381)</f>
        <v>0</v>
      </c>
      <c r="V381" s="44">
        <v>0</v>
      </c>
      <c r="W381" s="44">
        <f>V381-U381</f>
        <v>0</v>
      </c>
      <c r="X381" s="45">
        <v>0</v>
      </c>
      <c r="Y381" s="44">
        <v>0</v>
      </c>
      <c r="Z381" s="181">
        <f>SUM(V381:Y381)</f>
        <v>0</v>
      </c>
      <c r="AA381" s="181">
        <f>SUM(W381:Z381)</f>
        <v>0</v>
      </c>
      <c r="AB381" s="181">
        <f>SUM(X381:AA381)</f>
        <v>0</v>
      </c>
      <c r="AC381" s="45">
        <f t="shared" si="161"/>
        <v>0</v>
      </c>
      <c r="AD381" s="44">
        <v>0</v>
      </c>
      <c r="AE381" s="44">
        <v>0</v>
      </c>
      <c r="AF381" s="44">
        <f t="shared" si="163"/>
        <v>0</v>
      </c>
      <c r="AG381" s="44">
        <v>0</v>
      </c>
      <c r="AH381" s="44">
        <v>0</v>
      </c>
      <c r="AI381" s="34">
        <f>SUM(AF381:AH381)</f>
        <v>0</v>
      </c>
    </row>
    <row r="382" spans="1:35" ht="15.75" thickBot="1" x14ac:dyDescent="0.3">
      <c r="A382" s="165" t="s">
        <v>337</v>
      </c>
      <c r="B382" s="155"/>
      <c r="C382" s="183">
        <f>C384+C385</f>
        <v>180</v>
      </c>
      <c r="D382" s="183">
        <f>D384+D385</f>
        <v>1100</v>
      </c>
      <c r="E382" s="183">
        <f>E384+E385</f>
        <v>0</v>
      </c>
      <c r="F382" s="183">
        <f>F384+F385</f>
        <v>0</v>
      </c>
      <c r="G382" s="187">
        <f>D382+E382+F382</f>
        <v>1100</v>
      </c>
      <c r="H382" s="183">
        <f>H384+H385</f>
        <v>0</v>
      </c>
      <c r="I382" s="183">
        <f>I384+I385</f>
        <v>0</v>
      </c>
      <c r="J382" s="183">
        <f>J384+J385</f>
        <v>0</v>
      </c>
      <c r="K382" s="156">
        <f>G382+H382+I382+J382</f>
        <v>1100</v>
      </c>
      <c r="L382" s="159">
        <f>L384+L385</f>
        <v>0</v>
      </c>
      <c r="M382" s="159">
        <f t="shared" ref="M382:R382" si="165">M384+M385</f>
        <v>0</v>
      </c>
      <c r="N382" s="156">
        <f t="shared" si="165"/>
        <v>1100</v>
      </c>
      <c r="O382" s="156">
        <f t="shared" si="165"/>
        <v>0</v>
      </c>
      <c r="P382" s="156">
        <f t="shared" si="165"/>
        <v>0</v>
      </c>
      <c r="Q382" s="156">
        <f t="shared" si="165"/>
        <v>680</v>
      </c>
      <c r="R382" s="156">
        <f t="shared" si="165"/>
        <v>680</v>
      </c>
      <c r="S382" s="128">
        <f t="shared" ref="S382:X382" si="166">SUM(S384:S385)</f>
        <v>0</v>
      </c>
      <c r="T382" s="129">
        <f t="shared" si="166"/>
        <v>0</v>
      </c>
      <c r="U382" s="129">
        <f t="shared" si="166"/>
        <v>680</v>
      </c>
      <c r="V382" s="128">
        <f t="shared" si="166"/>
        <v>0</v>
      </c>
      <c r="W382" s="128">
        <f t="shared" si="166"/>
        <v>0</v>
      </c>
      <c r="X382" s="129">
        <f t="shared" si="166"/>
        <v>0</v>
      </c>
      <c r="Y382" s="128">
        <f>SUM(Y384:Y385)</f>
        <v>0</v>
      </c>
      <c r="Z382" s="182">
        <f t="shared" si="162"/>
        <v>0</v>
      </c>
      <c r="AA382" s="182">
        <f t="shared" si="162"/>
        <v>0</v>
      </c>
      <c r="AB382" s="182">
        <f>SUM(AB384:AB385)</f>
        <v>0</v>
      </c>
      <c r="AC382" s="129">
        <f t="shared" si="161"/>
        <v>0</v>
      </c>
      <c r="AD382" s="128">
        <f>SUM(AD384:AD385)</f>
        <v>0</v>
      </c>
      <c r="AE382" s="128">
        <f>SUM(AE384:AE385)</f>
        <v>0</v>
      </c>
      <c r="AF382" s="128">
        <f>SUM(AF384:AF385)</f>
        <v>0</v>
      </c>
      <c r="AG382" s="128">
        <f>SUM(AG384:AG385)</f>
        <v>0</v>
      </c>
      <c r="AH382" s="128">
        <f>SUM(AH384:AH385)</f>
        <v>0</v>
      </c>
      <c r="AI382" s="128">
        <f>SUM(AF382:AH382)</f>
        <v>0</v>
      </c>
    </row>
    <row r="383" spans="1:35" x14ac:dyDescent="0.25">
      <c r="A383" s="167" t="s">
        <v>59</v>
      </c>
      <c r="B383" s="137"/>
      <c r="C383" s="24"/>
      <c r="D383" s="24"/>
      <c r="E383" s="25"/>
      <c r="F383" s="25"/>
      <c r="G383" s="25"/>
      <c r="H383" s="24"/>
      <c r="I383" s="25"/>
      <c r="J383" s="25"/>
      <c r="K383" s="131"/>
      <c r="L383" s="132"/>
      <c r="M383" s="132"/>
      <c r="N383" s="131"/>
      <c r="O383" s="131"/>
      <c r="P383" s="131"/>
      <c r="Q383" s="131"/>
      <c r="R383" s="131"/>
      <c r="S383" s="26"/>
      <c r="T383" s="27"/>
      <c r="U383" s="27"/>
      <c r="V383" s="26"/>
      <c r="W383" s="26"/>
      <c r="X383" s="27"/>
      <c r="Y383" s="26"/>
      <c r="Z383" s="74"/>
      <c r="AA383" s="74"/>
      <c r="AB383" s="74"/>
      <c r="AC383" s="27"/>
      <c r="AD383" s="26"/>
      <c r="AE383" s="26"/>
      <c r="AF383" s="26"/>
      <c r="AG383" s="26"/>
      <c r="AH383" s="26"/>
      <c r="AI383" s="26">
        <f t="shared" ref="AI383" si="167">SUM(AF383:AG383)</f>
        <v>0</v>
      </c>
    </row>
    <row r="384" spans="1:35" ht="14.25" customHeight="1" x14ac:dyDescent="0.25">
      <c r="A384" s="167" t="s">
        <v>411</v>
      </c>
      <c r="B384" s="137"/>
      <c r="C384" s="24">
        <v>0</v>
      </c>
      <c r="D384" s="24">
        <v>0</v>
      </c>
      <c r="E384" s="25">
        <v>0</v>
      </c>
      <c r="F384" s="25">
        <v>0</v>
      </c>
      <c r="G384" s="25">
        <f>D384+E384+F384</f>
        <v>0</v>
      </c>
      <c r="H384" s="24">
        <v>0</v>
      </c>
      <c r="I384" s="25">
        <v>0</v>
      </c>
      <c r="J384" s="25">
        <v>0</v>
      </c>
      <c r="K384" s="25">
        <f>G384+H384+I384+J384</f>
        <v>0</v>
      </c>
      <c r="L384" s="24">
        <f>+L385</f>
        <v>0</v>
      </c>
      <c r="M384" s="24">
        <v>0</v>
      </c>
      <c r="N384" s="25">
        <f>K384+L384+M384</f>
        <v>0</v>
      </c>
      <c r="O384" s="25">
        <v>0</v>
      </c>
      <c r="P384" s="25">
        <v>0</v>
      </c>
      <c r="Q384" s="25">
        <v>0</v>
      </c>
      <c r="R384" s="23">
        <f>O384+P384+Q384</f>
        <v>0</v>
      </c>
      <c r="S384" s="34">
        <v>0</v>
      </c>
      <c r="T384" s="35">
        <v>0</v>
      </c>
      <c r="U384" s="35">
        <f>SUM(R384:T384)</f>
        <v>0</v>
      </c>
      <c r="V384" s="34">
        <v>0</v>
      </c>
      <c r="W384" s="34">
        <f>V384-U384</f>
        <v>0</v>
      </c>
      <c r="X384" s="35">
        <v>0</v>
      </c>
      <c r="Y384" s="34">
        <v>0</v>
      </c>
      <c r="Z384" s="87">
        <f t="shared" si="162"/>
        <v>0</v>
      </c>
      <c r="AA384" s="87">
        <f t="shared" si="162"/>
        <v>0</v>
      </c>
      <c r="AB384" s="87">
        <f t="shared" si="162"/>
        <v>0</v>
      </c>
      <c r="AC384" s="27">
        <f t="shared" si="161"/>
        <v>0</v>
      </c>
      <c r="AD384" s="26">
        <v>0</v>
      </c>
      <c r="AE384" s="26">
        <v>0</v>
      </c>
      <c r="AF384" s="26">
        <f>SUM(AC384:AE384)</f>
        <v>0</v>
      </c>
      <c r="AG384" s="34">
        <v>0</v>
      </c>
      <c r="AH384" s="34">
        <v>0</v>
      </c>
      <c r="AI384" s="34">
        <f>SUM(AF384:AH384)</f>
        <v>0</v>
      </c>
    </row>
    <row r="385" spans="1:35" ht="15.75" thickBot="1" x14ac:dyDescent="0.3">
      <c r="A385" s="164" t="s">
        <v>360</v>
      </c>
      <c r="B385" s="147"/>
      <c r="C385" s="41">
        <v>180</v>
      </c>
      <c r="D385" s="41">
        <v>1100</v>
      </c>
      <c r="E385" s="42">
        <v>0</v>
      </c>
      <c r="F385" s="42">
        <v>0</v>
      </c>
      <c r="G385" s="42">
        <f>D385+E385+F385</f>
        <v>1100</v>
      </c>
      <c r="H385" s="41">
        <v>0</v>
      </c>
      <c r="I385" s="42">
        <v>0</v>
      </c>
      <c r="J385" s="42">
        <v>0</v>
      </c>
      <c r="K385" s="42">
        <f>G385+H385+I385+J385</f>
        <v>1100</v>
      </c>
      <c r="L385" s="41">
        <v>0</v>
      </c>
      <c r="M385" s="41">
        <v>0</v>
      </c>
      <c r="N385" s="42">
        <f>K385+L385+M385</f>
        <v>1100</v>
      </c>
      <c r="O385" s="42">
        <v>0</v>
      </c>
      <c r="P385" s="42">
        <v>0</v>
      </c>
      <c r="Q385" s="42">
        <v>680</v>
      </c>
      <c r="R385" s="39">
        <f>O385+P385+Q385</f>
        <v>680</v>
      </c>
      <c r="S385" s="44">
        <v>0</v>
      </c>
      <c r="T385" s="45">
        <v>0</v>
      </c>
      <c r="U385" s="45">
        <f>SUM(R385:T385)</f>
        <v>680</v>
      </c>
      <c r="V385" s="44">
        <v>0</v>
      </c>
      <c r="W385" s="44">
        <v>0</v>
      </c>
      <c r="X385" s="44">
        <v>0</v>
      </c>
      <c r="Y385" s="44">
        <v>0</v>
      </c>
      <c r="Z385" s="181">
        <f t="shared" si="162"/>
        <v>0</v>
      </c>
      <c r="AA385" s="181">
        <f t="shared" si="162"/>
        <v>0</v>
      </c>
      <c r="AB385" s="181">
        <f t="shared" si="162"/>
        <v>0</v>
      </c>
      <c r="AC385" s="45">
        <f t="shared" si="161"/>
        <v>0</v>
      </c>
      <c r="AD385" s="44">
        <v>0</v>
      </c>
      <c r="AE385" s="44">
        <v>0</v>
      </c>
      <c r="AF385" s="44">
        <f>SUM(AC385:AE385)</f>
        <v>0</v>
      </c>
      <c r="AG385" s="44">
        <v>0</v>
      </c>
      <c r="AH385" s="44">
        <v>0</v>
      </c>
      <c r="AI385" s="34">
        <f>SUM(AF385:AH385)</f>
        <v>0</v>
      </c>
    </row>
    <row r="386" spans="1:35" ht="15.75" thickBot="1" x14ac:dyDescent="0.3">
      <c r="A386" s="165" t="s">
        <v>340</v>
      </c>
      <c r="B386" s="155"/>
      <c r="C386" s="183">
        <f>C388+C389</f>
        <v>11435</v>
      </c>
      <c r="D386" s="183">
        <f>D388+D389</f>
        <v>8137</v>
      </c>
      <c r="E386" s="183">
        <f>E388+E389</f>
        <v>163</v>
      </c>
      <c r="F386" s="183">
        <f>F388+F389</f>
        <v>1200</v>
      </c>
      <c r="G386" s="187">
        <f>D386+E386+F386</f>
        <v>9500</v>
      </c>
      <c r="H386" s="183">
        <f>H388+H389</f>
        <v>0</v>
      </c>
      <c r="I386" s="183">
        <f>I388+I389</f>
        <v>0</v>
      </c>
      <c r="J386" s="183">
        <f>J388+J389</f>
        <v>0</v>
      </c>
      <c r="K386" s="156">
        <f>G386+H386+I386+J386</f>
        <v>9500</v>
      </c>
      <c r="L386" s="159">
        <f>L388+L389</f>
        <v>-296</v>
      </c>
      <c r="M386" s="159">
        <f t="shared" ref="M386:R386" si="168">M388+M389</f>
        <v>0</v>
      </c>
      <c r="N386" s="156">
        <f t="shared" si="168"/>
        <v>9204</v>
      </c>
      <c r="O386" s="156">
        <f t="shared" si="168"/>
        <v>4300</v>
      </c>
      <c r="P386" s="156">
        <f t="shared" si="168"/>
        <v>4</v>
      </c>
      <c r="Q386" s="156">
        <f t="shared" si="168"/>
        <v>6980</v>
      </c>
      <c r="R386" s="156">
        <f t="shared" si="168"/>
        <v>12494</v>
      </c>
      <c r="S386" s="128">
        <f t="shared" ref="S386:X386" si="169">SUM(S388:S389)</f>
        <v>0</v>
      </c>
      <c r="T386" s="129">
        <f t="shared" si="169"/>
        <v>-1028</v>
      </c>
      <c r="U386" s="129">
        <f t="shared" si="169"/>
        <v>11466</v>
      </c>
      <c r="V386" s="128">
        <f t="shared" si="169"/>
        <v>5569</v>
      </c>
      <c r="W386" s="128">
        <f t="shared" si="169"/>
        <v>985</v>
      </c>
      <c r="X386" s="129">
        <f t="shared" si="169"/>
        <v>0</v>
      </c>
      <c r="Y386" s="128">
        <f>SUM(Y388:Y389)</f>
        <v>440</v>
      </c>
      <c r="Z386" s="182">
        <f t="shared" si="162"/>
        <v>6994</v>
      </c>
      <c r="AA386" s="182">
        <f>SUM(AA388:AA389)</f>
        <v>-3000</v>
      </c>
      <c r="AB386" s="182">
        <f>SUM(AB388:AB389)</f>
        <v>0</v>
      </c>
      <c r="AC386" s="129">
        <f t="shared" si="161"/>
        <v>3994</v>
      </c>
      <c r="AD386" s="128">
        <f>SUM(AD387:AD389)</f>
        <v>0</v>
      </c>
      <c r="AE386" s="128">
        <f>SUM(AE388:AE389)</f>
        <v>60</v>
      </c>
      <c r="AF386" s="128">
        <f>SUM(AF387:AF389)</f>
        <v>4054</v>
      </c>
      <c r="AG386" s="128">
        <f>SUM(AG388:AG389)</f>
        <v>0</v>
      </c>
      <c r="AH386" s="128">
        <f>SUM(AH388:AH389)</f>
        <v>0</v>
      </c>
      <c r="AI386" s="128">
        <f>SUM(AF386:AH386)</f>
        <v>4054</v>
      </c>
    </row>
    <row r="387" spans="1:35" x14ac:dyDescent="0.25">
      <c r="A387" s="167" t="s">
        <v>59</v>
      </c>
      <c r="B387" s="137"/>
      <c r="C387" s="24"/>
      <c r="D387" s="24"/>
      <c r="E387" s="25"/>
      <c r="F387" s="25"/>
      <c r="G387" s="25"/>
      <c r="H387" s="24"/>
      <c r="I387" s="25"/>
      <c r="J387" s="25"/>
      <c r="K387" s="131"/>
      <c r="L387" s="132"/>
      <c r="M387" s="132"/>
      <c r="N387" s="131"/>
      <c r="O387" s="131"/>
      <c r="P387" s="131"/>
      <c r="Q387" s="131"/>
      <c r="R387" s="131"/>
      <c r="S387" s="26"/>
      <c r="T387" s="27"/>
      <c r="U387" s="27"/>
      <c r="V387" s="26"/>
      <c r="W387" s="26"/>
      <c r="X387" s="27"/>
      <c r="Y387" s="26"/>
      <c r="Z387" s="74"/>
      <c r="AA387" s="74"/>
      <c r="AB387" s="74"/>
      <c r="AC387" s="27"/>
      <c r="AD387" s="26"/>
      <c r="AE387" s="26"/>
      <c r="AF387" s="26"/>
      <c r="AG387" s="26"/>
      <c r="AH387" s="26"/>
      <c r="AI387" s="26"/>
    </row>
    <row r="388" spans="1:35" ht="25.5" x14ac:dyDescent="0.25">
      <c r="A388" s="28" t="s">
        <v>412</v>
      </c>
      <c r="B388" s="141"/>
      <c r="C388" s="32">
        <v>0</v>
      </c>
      <c r="D388" s="32">
        <v>0</v>
      </c>
      <c r="E388" s="33">
        <v>0</v>
      </c>
      <c r="F388" s="33">
        <v>0</v>
      </c>
      <c r="G388" s="33">
        <f>D388+E388+F388</f>
        <v>0</v>
      </c>
      <c r="H388" s="32">
        <v>0</v>
      </c>
      <c r="I388" s="33">
        <v>0</v>
      </c>
      <c r="J388" s="33">
        <v>0</v>
      </c>
      <c r="K388" s="33">
        <f>G388+H388+I388+J388</f>
        <v>0</v>
      </c>
      <c r="L388" s="32">
        <v>0</v>
      </c>
      <c r="M388" s="32">
        <v>0</v>
      </c>
      <c r="N388" s="33">
        <f>K388+L388+M388</f>
        <v>0</v>
      </c>
      <c r="O388" s="33">
        <v>0</v>
      </c>
      <c r="P388" s="33">
        <v>0</v>
      </c>
      <c r="Q388" s="33">
        <v>0</v>
      </c>
      <c r="R388" s="31">
        <f>O388+P388+Q388</f>
        <v>0</v>
      </c>
      <c r="S388" s="34">
        <v>0</v>
      </c>
      <c r="T388" s="35">
        <v>0</v>
      </c>
      <c r="U388" s="35">
        <f>SUM(R388:T388)</f>
        <v>0</v>
      </c>
      <c r="V388" s="34">
        <v>0</v>
      </c>
      <c r="W388" s="34">
        <f>V388-U388</f>
        <v>0</v>
      </c>
      <c r="X388" s="35">
        <v>0</v>
      </c>
      <c r="Y388" s="34">
        <v>0</v>
      </c>
      <c r="Z388" s="87">
        <f t="shared" si="162"/>
        <v>0</v>
      </c>
      <c r="AA388" s="87">
        <f t="shared" si="162"/>
        <v>0</v>
      </c>
      <c r="AB388" s="87">
        <f t="shared" si="162"/>
        <v>0</v>
      </c>
      <c r="AC388" s="27">
        <f t="shared" si="161"/>
        <v>0</v>
      </c>
      <c r="AD388" s="26">
        <v>0</v>
      </c>
      <c r="AE388" s="26">
        <v>0</v>
      </c>
      <c r="AF388" s="26">
        <f>SUM(AC388:AE388)</f>
        <v>0</v>
      </c>
      <c r="AG388" s="34">
        <v>0</v>
      </c>
      <c r="AH388" s="34">
        <v>0</v>
      </c>
      <c r="AI388" s="34">
        <f>SUM(AF388:AH388)</f>
        <v>0</v>
      </c>
    </row>
    <row r="389" spans="1:35" ht="15.75" thickBot="1" x14ac:dyDescent="0.3">
      <c r="A389" s="164" t="s">
        <v>360</v>
      </c>
      <c r="B389" s="147"/>
      <c r="C389" s="41">
        <v>11435</v>
      </c>
      <c r="D389" s="41">
        <v>8137</v>
      </c>
      <c r="E389" s="42">
        <v>163</v>
      </c>
      <c r="F389" s="42">
        <v>1200</v>
      </c>
      <c r="G389" s="42">
        <f>D389+E389+F389</f>
        <v>9500</v>
      </c>
      <c r="H389" s="41">
        <v>0</v>
      </c>
      <c r="I389" s="42">
        <v>0</v>
      </c>
      <c r="J389" s="42">
        <v>0</v>
      </c>
      <c r="K389" s="42">
        <f>G389+H389+I389+J389</f>
        <v>9500</v>
      </c>
      <c r="L389" s="41">
        <f>-268-28</f>
        <v>-296</v>
      </c>
      <c r="M389" s="41">
        <v>0</v>
      </c>
      <c r="N389" s="42">
        <f>K389+L389+M389</f>
        <v>9204</v>
      </c>
      <c r="O389" s="42">
        <v>4300</v>
      </c>
      <c r="P389" s="42">
        <f>329-325</f>
        <v>4</v>
      </c>
      <c r="Q389" s="42">
        <v>6980</v>
      </c>
      <c r="R389" s="39">
        <f>O389+P389+Q389+100+1110</f>
        <v>12494</v>
      </c>
      <c r="S389" s="44">
        <v>0</v>
      </c>
      <c r="T389" s="45">
        <f>-1028</f>
        <v>-1028</v>
      </c>
      <c r="U389" s="45">
        <f>SUM(R389:T389)</f>
        <v>11466</v>
      </c>
      <c r="V389" s="44">
        <v>5569</v>
      </c>
      <c r="W389" s="44">
        <f>232+310+443</f>
        <v>985</v>
      </c>
      <c r="X389" s="45">
        <v>0</v>
      </c>
      <c r="Y389" s="44">
        <f>440</f>
        <v>440</v>
      </c>
      <c r="Z389" s="181">
        <f t="shared" si="162"/>
        <v>6994</v>
      </c>
      <c r="AA389" s="181">
        <f>-3000</f>
        <v>-3000</v>
      </c>
      <c r="AB389" s="181">
        <v>0</v>
      </c>
      <c r="AC389" s="45">
        <f t="shared" si="161"/>
        <v>3994</v>
      </c>
      <c r="AD389" s="44">
        <v>0</v>
      </c>
      <c r="AE389" s="44">
        <f>107-47</f>
        <v>60</v>
      </c>
      <c r="AF389" s="44">
        <f>SUM(AC389:AE389)</f>
        <v>4054</v>
      </c>
      <c r="AG389" s="44">
        <v>0</v>
      </c>
      <c r="AH389" s="44">
        <v>0</v>
      </c>
      <c r="AI389" s="34">
        <f>SUM(AF389:AH389)</f>
        <v>4054</v>
      </c>
    </row>
    <row r="390" spans="1:35" ht="26.25" thickBot="1" x14ac:dyDescent="0.3">
      <c r="A390" s="240" t="s">
        <v>343</v>
      </c>
      <c r="B390" s="155"/>
      <c r="C390" s="183">
        <f>C392+C393+C394</f>
        <v>600</v>
      </c>
      <c r="D390" s="183">
        <f>D392+D393+D394</f>
        <v>1650</v>
      </c>
      <c r="E390" s="183">
        <f>E392+E393+E394</f>
        <v>0</v>
      </c>
      <c r="F390" s="183">
        <f>F392+F393+F394</f>
        <v>0</v>
      </c>
      <c r="G390" s="187">
        <f>D390+E390+F390</f>
        <v>1650</v>
      </c>
      <c r="H390" s="183">
        <f>H392+H393+H394</f>
        <v>0</v>
      </c>
      <c r="I390" s="183">
        <f>I392+I393+I394</f>
        <v>0</v>
      </c>
      <c r="J390" s="183">
        <f>J392+J393+J394</f>
        <v>0</v>
      </c>
      <c r="K390" s="156">
        <f>G390+H390+I390+J390</f>
        <v>1650</v>
      </c>
      <c r="L390" s="241">
        <f t="shared" ref="L390:R390" si="170">L392+L393+L394</f>
        <v>0</v>
      </c>
      <c r="M390" s="159">
        <f t="shared" si="170"/>
        <v>0</v>
      </c>
      <c r="N390" s="156">
        <f t="shared" si="170"/>
        <v>1650</v>
      </c>
      <c r="O390" s="156">
        <f t="shared" si="170"/>
        <v>1200</v>
      </c>
      <c r="P390" s="156">
        <f t="shared" si="170"/>
        <v>0</v>
      </c>
      <c r="Q390" s="156">
        <f t="shared" si="170"/>
        <v>0</v>
      </c>
      <c r="R390" s="156">
        <f t="shared" si="170"/>
        <v>1200</v>
      </c>
      <c r="S390" s="128">
        <f t="shared" ref="S390:X390" si="171">SUM(S392:S394)</f>
        <v>0</v>
      </c>
      <c r="T390" s="129">
        <f t="shared" si="171"/>
        <v>0</v>
      </c>
      <c r="U390" s="129">
        <f t="shared" si="171"/>
        <v>1200</v>
      </c>
      <c r="V390" s="128">
        <f t="shared" si="171"/>
        <v>750</v>
      </c>
      <c r="W390" s="128">
        <f t="shared" si="171"/>
        <v>94</v>
      </c>
      <c r="X390" s="129">
        <f t="shared" si="171"/>
        <v>0</v>
      </c>
      <c r="Y390" s="128">
        <f>SUM(Y392:Y394)</f>
        <v>0</v>
      </c>
      <c r="Z390" s="182">
        <f t="shared" si="162"/>
        <v>844</v>
      </c>
      <c r="AA390" s="182">
        <f>SUM(AA392:AA394)</f>
        <v>0</v>
      </c>
      <c r="AB390" s="182">
        <f>SUM(AB392:AB394)</f>
        <v>0</v>
      </c>
      <c r="AC390" s="129">
        <f t="shared" si="161"/>
        <v>844</v>
      </c>
      <c r="AD390" s="128">
        <f>SUM(AD392:AD394)</f>
        <v>0</v>
      </c>
      <c r="AE390" s="128">
        <f>SUM(AE392:AE394)</f>
        <v>60.26</v>
      </c>
      <c r="AF390" s="128">
        <f>SUM(AF392:AF394)</f>
        <v>904.26</v>
      </c>
      <c r="AG390" s="128">
        <f>SUM(AG392:AG394)</f>
        <v>0</v>
      </c>
      <c r="AH390" s="128">
        <f>SUM(AH392:AH394)</f>
        <v>0</v>
      </c>
      <c r="AI390" s="128">
        <f>SUM(AF390:AH390)</f>
        <v>904.26</v>
      </c>
    </row>
    <row r="391" spans="1:35" ht="16.5" customHeight="1" x14ac:dyDescent="0.25">
      <c r="A391" s="167" t="s">
        <v>59</v>
      </c>
      <c r="B391" s="137"/>
      <c r="C391" s="24"/>
      <c r="D391" s="24"/>
      <c r="E391" s="25"/>
      <c r="F391" s="25"/>
      <c r="G391" s="25"/>
      <c r="H391" s="24"/>
      <c r="I391" s="25"/>
      <c r="J391" s="25"/>
      <c r="K391" s="225"/>
      <c r="L391" s="132"/>
      <c r="M391" s="132"/>
      <c r="N391" s="131"/>
      <c r="O391" s="131"/>
      <c r="P391" s="131"/>
      <c r="Q391" s="131"/>
      <c r="R391" s="132"/>
      <c r="S391" s="26"/>
      <c r="T391" s="27"/>
      <c r="U391" s="27"/>
      <c r="V391" s="26"/>
      <c r="W391" s="26"/>
      <c r="X391" s="27"/>
      <c r="Y391" s="26"/>
      <c r="Z391" s="74"/>
      <c r="AA391" s="74"/>
      <c r="AB391" s="74"/>
      <c r="AC391" s="27"/>
      <c r="AD391" s="26"/>
      <c r="AE391" s="26"/>
      <c r="AF391" s="26"/>
      <c r="AG391" s="26"/>
      <c r="AH391" s="26"/>
      <c r="AI391" s="26"/>
    </row>
    <row r="392" spans="1:35" ht="25.5" customHeight="1" x14ac:dyDescent="0.25">
      <c r="A392" s="28" t="s">
        <v>413</v>
      </c>
      <c r="B392" s="141"/>
      <c r="C392" s="32">
        <v>0</v>
      </c>
      <c r="D392" s="32">
        <v>0</v>
      </c>
      <c r="E392" s="33">
        <v>0</v>
      </c>
      <c r="F392" s="33">
        <v>0</v>
      </c>
      <c r="G392" s="33">
        <f>D392+E392+F392</f>
        <v>0</v>
      </c>
      <c r="H392" s="32">
        <v>0</v>
      </c>
      <c r="I392" s="33">
        <v>0</v>
      </c>
      <c r="J392" s="33">
        <v>0</v>
      </c>
      <c r="K392" s="33">
        <f>G392+H392+I392+J392</f>
        <v>0</v>
      </c>
      <c r="L392" s="32">
        <v>0</v>
      </c>
      <c r="M392" s="32">
        <v>0</v>
      </c>
      <c r="N392" s="33">
        <f>K392+L392+M392</f>
        <v>0</v>
      </c>
      <c r="O392" s="33">
        <v>0</v>
      </c>
      <c r="P392" s="33">
        <v>0</v>
      </c>
      <c r="Q392" s="33">
        <v>0</v>
      </c>
      <c r="R392" s="31">
        <f>O392+P392+Q392</f>
        <v>0</v>
      </c>
      <c r="S392" s="32">
        <v>0</v>
      </c>
      <c r="T392" s="33">
        <v>0</v>
      </c>
      <c r="U392" s="33">
        <f>SUM(R392:T392)</f>
        <v>0</v>
      </c>
      <c r="V392" s="34">
        <v>0</v>
      </c>
      <c r="W392" s="34">
        <f>V392-U392</f>
        <v>0</v>
      </c>
      <c r="X392" s="35">
        <v>0</v>
      </c>
      <c r="Y392" s="34">
        <v>0</v>
      </c>
      <c r="Z392" s="87">
        <f t="shared" si="162"/>
        <v>0</v>
      </c>
      <c r="AA392" s="87">
        <f t="shared" si="162"/>
        <v>0</v>
      </c>
      <c r="AB392" s="87">
        <f t="shared" si="162"/>
        <v>0</v>
      </c>
      <c r="AC392" s="27">
        <f t="shared" si="161"/>
        <v>0</v>
      </c>
      <c r="AD392" s="26">
        <v>0</v>
      </c>
      <c r="AE392" s="26">
        <v>0</v>
      </c>
      <c r="AF392" s="26">
        <f>SUM(AC392:AE392)</f>
        <v>0</v>
      </c>
      <c r="AG392" s="34">
        <v>0</v>
      </c>
      <c r="AH392" s="34">
        <v>0</v>
      </c>
      <c r="AI392" s="34">
        <f>SUM(AF392:AH392)</f>
        <v>0</v>
      </c>
    </row>
    <row r="393" spans="1:35" ht="18" customHeight="1" x14ac:dyDescent="0.25">
      <c r="A393" s="163" t="s">
        <v>360</v>
      </c>
      <c r="B393" s="141"/>
      <c r="C393" s="24">
        <v>0</v>
      </c>
      <c r="D393" s="24">
        <v>900</v>
      </c>
      <c r="E393" s="25">
        <v>0</v>
      </c>
      <c r="F393" s="25">
        <v>0</v>
      </c>
      <c r="G393" s="33">
        <f>D393+E393+F393</f>
        <v>900</v>
      </c>
      <c r="H393" s="32">
        <v>0</v>
      </c>
      <c r="I393" s="33">
        <v>0</v>
      </c>
      <c r="J393" s="33">
        <v>0</v>
      </c>
      <c r="K393" s="33">
        <f>G393+H393+I393+J393</f>
        <v>900</v>
      </c>
      <c r="L393" s="32">
        <v>0</v>
      </c>
      <c r="M393" s="32">
        <v>0</v>
      </c>
      <c r="N393" s="33">
        <f>K393+L393+M393</f>
        <v>900</v>
      </c>
      <c r="O393" s="33">
        <v>450</v>
      </c>
      <c r="P393" s="33">
        <v>0</v>
      </c>
      <c r="Q393" s="33">
        <v>0</v>
      </c>
      <c r="R393" s="31">
        <f>O393+P393+Q393</f>
        <v>450</v>
      </c>
      <c r="S393" s="32">
        <v>0</v>
      </c>
      <c r="T393" s="33">
        <v>0</v>
      </c>
      <c r="U393" s="33">
        <f>SUM(R393:T393)</f>
        <v>450</v>
      </c>
      <c r="V393" s="34">
        <v>0</v>
      </c>
      <c r="W393" s="34">
        <f>44+50</f>
        <v>94</v>
      </c>
      <c r="X393" s="35">
        <v>0</v>
      </c>
      <c r="Y393" s="34">
        <v>0</v>
      </c>
      <c r="Z393" s="87">
        <f t="shared" si="162"/>
        <v>94</v>
      </c>
      <c r="AA393" s="87">
        <v>0</v>
      </c>
      <c r="AB393" s="87">
        <v>0</v>
      </c>
      <c r="AC393" s="27">
        <f t="shared" si="161"/>
        <v>94</v>
      </c>
      <c r="AD393" s="26">
        <v>0</v>
      </c>
      <c r="AE393" s="26">
        <f>60.26</f>
        <v>60.26</v>
      </c>
      <c r="AF393" s="26">
        <f>SUM(AC393:AE393)</f>
        <v>154.26</v>
      </c>
      <c r="AG393" s="34">
        <v>0</v>
      </c>
      <c r="AH393" s="34">
        <v>0</v>
      </c>
      <c r="AI393" s="34">
        <f t="shared" ref="AI393:AI394" si="172">SUM(AF393:AH393)</f>
        <v>154.26</v>
      </c>
    </row>
    <row r="394" spans="1:35" ht="29.25" customHeight="1" thickBot="1" x14ac:dyDescent="0.3">
      <c r="A394" s="36" t="s">
        <v>414</v>
      </c>
      <c r="B394" s="147" t="s">
        <v>88</v>
      </c>
      <c r="C394" s="41">
        <v>600</v>
      </c>
      <c r="D394" s="41">
        <v>750</v>
      </c>
      <c r="E394" s="42">
        <v>0</v>
      </c>
      <c r="F394" s="42">
        <v>0</v>
      </c>
      <c r="G394" s="42">
        <f>D394+E394+F394</f>
        <v>750</v>
      </c>
      <c r="H394" s="41">
        <v>0</v>
      </c>
      <c r="I394" s="42">
        <v>0</v>
      </c>
      <c r="J394" s="42">
        <v>0</v>
      </c>
      <c r="K394" s="42">
        <f>G394+H394+I394+J394</f>
        <v>750</v>
      </c>
      <c r="L394" s="41">
        <v>0</v>
      </c>
      <c r="M394" s="41">
        <v>0</v>
      </c>
      <c r="N394" s="42">
        <f>K394+L394+M394</f>
        <v>750</v>
      </c>
      <c r="O394" s="42">
        <v>750</v>
      </c>
      <c r="P394" s="42">
        <v>0</v>
      </c>
      <c r="Q394" s="42">
        <v>0</v>
      </c>
      <c r="R394" s="39">
        <f>O394+P394+Q394</f>
        <v>750</v>
      </c>
      <c r="S394" s="41">
        <v>0</v>
      </c>
      <c r="T394" s="42">
        <v>0</v>
      </c>
      <c r="U394" s="42">
        <f>SUM(R394:T394)</f>
        <v>750</v>
      </c>
      <c r="V394" s="44">
        <v>750</v>
      </c>
      <c r="W394" s="44">
        <f>V394-U394</f>
        <v>0</v>
      </c>
      <c r="X394" s="45">
        <v>0</v>
      </c>
      <c r="Y394" s="44">
        <v>0</v>
      </c>
      <c r="Z394" s="181">
        <f t="shared" si="162"/>
        <v>750</v>
      </c>
      <c r="AA394" s="181">
        <v>0</v>
      </c>
      <c r="AB394" s="181">
        <v>0</v>
      </c>
      <c r="AC394" s="45">
        <f t="shared" si="161"/>
        <v>750</v>
      </c>
      <c r="AD394" s="44">
        <v>0</v>
      </c>
      <c r="AE394" s="44">
        <v>0</v>
      </c>
      <c r="AF394" s="47">
        <f t="shared" ref="AF394" si="173">SUM(AC394:AE394)</f>
        <v>750</v>
      </c>
      <c r="AG394" s="44">
        <v>0</v>
      </c>
      <c r="AH394" s="44">
        <v>0</v>
      </c>
      <c r="AI394" s="34">
        <f t="shared" si="172"/>
        <v>750</v>
      </c>
    </row>
    <row r="395" spans="1:35" ht="18" customHeight="1" thickBot="1" x14ac:dyDescent="0.3">
      <c r="A395" s="199" t="s">
        <v>415</v>
      </c>
      <c r="B395" s="200"/>
      <c r="C395" s="201" t="e">
        <f t="shared" ref="C395:R395" si="174">C297+C305+C311+C320+C326+C330+C340+C346+C354+C358+C366+C372+C382+C386+C390</f>
        <v>#REF!</v>
      </c>
      <c r="D395" s="201" t="e">
        <f t="shared" si="174"/>
        <v>#REF!</v>
      </c>
      <c r="E395" s="201" t="e">
        <f t="shared" si="174"/>
        <v>#REF!</v>
      </c>
      <c r="F395" s="201" t="e">
        <f t="shared" si="174"/>
        <v>#REF!</v>
      </c>
      <c r="G395" s="201" t="e">
        <f t="shared" si="174"/>
        <v>#REF!</v>
      </c>
      <c r="H395" s="201" t="e">
        <f t="shared" si="174"/>
        <v>#REF!</v>
      </c>
      <c r="I395" s="201" t="e">
        <f t="shared" si="174"/>
        <v>#REF!</v>
      </c>
      <c r="J395" s="201" t="e">
        <f t="shared" si="174"/>
        <v>#REF!</v>
      </c>
      <c r="K395" s="202" t="e">
        <f t="shared" si="174"/>
        <v>#REF!</v>
      </c>
      <c r="L395" s="202" t="e">
        <f t="shared" si="174"/>
        <v>#REF!</v>
      </c>
      <c r="M395" s="202" t="e">
        <f t="shared" si="174"/>
        <v>#REF!</v>
      </c>
      <c r="N395" s="202" t="e">
        <f t="shared" si="174"/>
        <v>#REF!</v>
      </c>
      <c r="O395" s="202" t="e">
        <f t="shared" si="174"/>
        <v>#REF!</v>
      </c>
      <c r="P395" s="202" t="e">
        <f t="shared" si="174"/>
        <v>#REF!</v>
      </c>
      <c r="Q395" s="202" t="e">
        <f t="shared" si="174"/>
        <v>#REF!</v>
      </c>
      <c r="R395" s="202" t="e">
        <f t="shared" si="174"/>
        <v>#REF!</v>
      </c>
      <c r="S395" s="203">
        <f>S390+S386+S382+S372+S366+S358+S354+S346+S340+S330+S326+S320+S311+S305+S297</f>
        <v>-19321</v>
      </c>
      <c r="T395" s="204">
        <f>SUM(T297,T305,T311,T320,T326,T330,T340,T346,T354,T358,T366,T372,T382,T386,T390)</f>
        <v>3757.99</v>
      </c>
      <c r="U395" s="204">
        <f>U390+U386+U382+U372+U366+U358+U354+U346+U340+U330+U326+U320+U311+U305+U297</f>
        <v>331910.76</v>
      </c>
      <c r="V395" s="203">
        <f>V390+V386+V382+V372+V358+V354+V346+V340+V330+V326+V320+V311+V305+V297+V366</f>
        <v>406402.26</v>
      </c>
      <c r="W395" s="203">
        <f>SUM(W297+W305+W311+W320+W326+W330+W340+W346+W354+W358+W366+W372+W382+W386+W390)</f>
        <v>106806.26999999999</v>
      </c>
      <c r="X395" s="204">
        <f>SUM(X297+X305+X311+X320+X326+X330+X340+X346+X354+X358+X366+X372+X382+X386+X390)</f>
        <v>-5000</v>
      </c>
      <c r="Y395" s="203">
        <f>SUM(Y297+Y305+Y311+Y320+Y326+Y330+Y340+Y346+Y354+Y358+Y366+Y382+Y386+Y390)</f>
        <v>-1856.35</v>
      </c>
      <c r="Z395" s="242">
        <f t="shared" ref="Z395:Z396" si="175">SUM(V395:Y395)</f>
        <v>506352.18000000005</v>
      </c>
      <c r="AA395" s="242">
        <f>SUM(AA297+AA305+AA311+AA320+AA326+AA330+AA340+AA346+AA354+AA358+AA366+AA372+AA382+AA386+AA390)</f>
        <v>-12419.9</v>
      </c>
      <c r="AB395" s="242">
        <f>SUM(AB297+AB305+AB311+AB320+AB326+AB330+AB340+AB346+AB354+AB358+AB366+AB372+AB382+AB386+AB390)</f>
        <v>1350.8500000000001</v>
      </c>
      <c r="AC395" s="204">
        <f t="shared" si="161"/>
        <v>495283.13</v>
      </c>
      <c r="AD395" s="203">
        <f>AD297+AD305+AD311+AD320+AD326+AD330+AD340+AD346+AD354+AD358+AD366+AD372+AD382+AD386+AD390</f>
        <v>-4839.21</v>
      </c>
      <c r="AE395" s="203">
        <f>SUM(AE297+AE305+AE311+AE320+AE326+AE330+AE340+AE346+AE354+AE358+AE366+AE372+AE382+AE386+AE390)</f>
        <v>-1486.8999999999999</v>
      </c>
      <c r="AF395" s="203">
        <f>AF297+AF305+AF311+AF320+AF326+AF330+AF340+AF346+AF354+AF358+AF366+AF372+AF382+AF386+AF390</f>
        <v>489182.64</v>
      </c>
      <c r="AG395" s="203">
        <f>SUM(AG297+AG305+AG311+AG320+AG326+AG330+AG340+AG346+AG354+AG358+AG366+AG372+AG382+AG386+AG390)</f>
        <v>-177530.27</v>
      </c>
      <c r="AH395" s="203">
        <f>SUM(AH297+AH305+AH311+AH320+AH326+AH330+AH340+AH346+AH354+AH358+AH366+AH372+AH382+AH386+AH390)</f>
        <v>3804.5</v>
      </c>
      <c r="AI395" s="203">
        <f>SUM(AF395:AH395)</f>
        <v>315456.87</v>
      </c>
    </row>
    <row r="396" spans="1:35" ht="20.25" customHeight="1" thickBot="1" x14ac:dyDescent="0.3">
      <c r="A396" s="243" t="s">
        <v>416</v>
      </c>
      <c r="B396" s="244"/>
      <c r="C396" s="245" t="e">
        <f t="shared" ref="C396:R396" si="176">C294+C395</f>
        <v>#REF!</v>
      </c>
      <c r="D396" s="245" t="e">
        <f t="shared" si="176"/>
        <v>#REF!</v>
      </c>
      <c r="E396" s="245" t="e">
        <f t="shared" si="176"/>
        <v>#REF!</v>
      </c>
      <c r="F396" s="246" t="e">
        <f t="shared" si="176"/>
        <v>#REF!</v>
      </c>
      <c r="G396" s="246" t="e">
        <f t="shared" si="176"/>
        <v>#REF!</v>
      </c>
      <c r="H396" s="246" t="e">
        <f t="shared" si="176"/>
        <v>#REF!</v>
      </c>
      <c r="I396" s="246" t="e">
        <f t="shared" si="176"/>
        <v>#REF!</v>
      </c>
      <c r="J396" s="246" t="e">
        <f t="shared" si="176"/>
        <v>#REF!</v>
      </c>
      <c r="K396" s="246" t="e">
        <f t="shared" si="176"/>
        <v>#REF!</v>
      </c>
      <c r="L396" s="246" t="e">
        <f t="shared" si="176"/>
        <v>#REF!</v>
      </c>
      <c r="M396" s="246" t="e">
        <f t="shared" si="176"/>
        <v>#REF!</v>
      </c>
      <c r="N396" s="246" t="e">
        <f t="shared" si="176"/>
        <v>#REF!</v>
      </c>
      <c r="O396" s="246" t="e">
        <f t="shared" si="176"/>
        <v>#REF!</v>
      </c>
      <c r="P396" s="246" t="e">
        <f t="shared" si="176"/>
        <v>#REF!</v>
      </c>
      <c r="Q396" s="246" t="e">
        <f t="shared" si="176"/>
        <v>#REF!</v>
      </c>
      <c r="R396" s="246" t="e">
        <f t="shared" si="176"/>
        <v>#REF!</v>
      </c>
      <c r="S396" s="247">
        <f>SUM(S395+S294)</f>
        <v>-6923.9900000000016</v>
      </c>
      <c r="T396" s="248">
        <f>SUM(T294,T395)</f>
        <v>14621.4</v>
      </c>
      <c r="U396" s="248">
        <f>SUM(U395+U294)</f>
        <v>1581531.4</v>
      </c>
      <c r="V396" s="247">
        <f>SUM(V395+V294)</f>
        <v>1625721.6400000001</v>
      </c>
      <c r="W396" s="247">
        <f>SUM(W294+W395)</f>
        <v>167931.94</v>
      </c>
      <c r="X396" s="248">
        <f>SUM(X294+X395)</f>
        <v>0</v>
      </c>
      <c r="Y396" s="247">
        <f>SUM(Y294+Y395)</f>
        <v>57986.38</v>
      </c>
      <c r="Z396" s="248">
        <f t="shared" si="175"/>
        <v>1851639.96</v>
      </c>
      <c r="AA396" s="248">
        <f>SUM(AA294+AA395)</f>
        <v>-49831.15</v>
      </c>
      <c r="AB396" s="248">
        <f>SUM(AB294+AB395)</f>
        <v>24633.119999999995</v>
      </c>
      <c r="AC396" s="204">
        <f t="shared" si="161"/>
        <v>1826441.9300000002</v>
      </c>
      <c r="AD396" s="203">
        <f>AD294+AD395</f>
        <v>-63643.090000000004</v>
      </c>
      <c r="AE396" s="203">
        <f>SUM(AE294+AE395)</f>
        <v>12111.189999999999</v>
      </c>
      <c r="AF396" s="203">
        <f>AF294+AF395</f>
        <v>1779675.35</v>
      </c>
      <c r="AG396" s="203">
        <f>SUM(AG294+AG395)</f>
        <v>-196493.63999999998</v>
      </c>
      <c r="AH396" s="203">
        <f>SUM(AH294+AH395)</f>
        <v>3266.16</v>
      </c>
      <c r="AI396" s="203">
        <f>SUM(AF396:AH396)</f>
        <v>1586447.87</v>
      </c>
    </row>
    <row r="397" spans="1:35" ht="19.5" customHeight="1" thickBot="1" x14ac:dyDescent="0.3">
      <c r="A397" s="195"/>
      <c r="B397" s="196"/>
      <c r="C397" s="105"/>
      <c r="D397" s="105"/>
      <c r="E397" s="105"/>
      <c r="F397" s="105"/>
      <c r="G397" s="105"/>
      <c r="H397" s="105"/>
      <c r="I397" s="105"/>
      <c r="J397" s="43"/>
      <c r="K397" s="58"/>
      <c r="L397" s="57"/>
      <c r="M397" s="57"/>
      <c r="N397" s="58"/>
      <c r="O397" s="58"/>
      <c r="P397" s="58"/>
      <c r="Q397" s="58"/>
      <c r="R397" s="57"/>
      <c r="S397" s="59"/>
      <c r="T397" s="60"/>
      <c r="U397" s="60"/>
      <c r="V397" s="211"/>
      <c r="W397" s="211"/>
      <c r="X397" s="212"/>
      <c r="Y397" s="211"/>
      <c r="Z397" s="212"/>
      <c r="AA397" s="212"/>
      <c r="AB397" s="212"/>
      <c r="AC397" s="46"/>
      <c r="AD397" s="47"/>
      <c r="AE397" s="47"/>
      <c r="AF397" s="47"/>
      <c r="AG397" s="47"/>
      <c r="AH397" s="47"/>
      <c r="AI397" s="47"/>
    </row>
    <row r="398" spans="1:35" ht="16.5" customHeight="1" thickBot="1" x14ac:dyDescent="0.3">
      <c r="A398" s="61" t="s">
        <v>417</v>
      </c>
      <c r="B398" s="249"/>
      <c r="C398" s="63"/>
      <c r="D398" s="63"/>
      <c r="E398" s="64"/>
      <c r="F398" s="64"/>
      <c r="G398" s="64"/>
      <c r="H398" s="250"/>
      <c r="I398" s="251"/>
      <c r="J398" s="251"/>
      <c r="K398" s="66"/>
      <c r="L398" s="65"/>
      <c r="M398" s="65"/>
      <c r="N398" s="66"/>
      <c r="O398" s="66"/>
      <c r="P398" s="66"/>
      <c r="Q398" s="66"/>
      <c r="R398" s="65"/>
      <c r="S398" s="67"/>
      <c r="T398" s="68"/>
      <c r="U398" s="68"/>
      <c r="V398" s="252"/>
      <c r="W398" s="252"/>
      <c r="X398" s="253"/>
      <c r="Y398" s="252"/>
      <c r="Z398" s="253"/>
      <c r="AA398" s="253"/>
      <c r="AB398" s="253"/>
      <c r="AC398" s="69"/>
      <c r="AD398" s="70"/>
      <c r="AE398" s="70"/>
      <c r="AF398" s="70"/>
      <c r="AG398" s="70"/>
      <c r="AH398" s="70"/>
      <c r="AI398" s="70"/>
    </row>
    <row r="399" spans="1:35" x14ac:dyDescent="0.25">
      <c r="A399" s="20" t="s">
        <v>418</v>
      </c>
      <c r="B399" s="137"/>
      <c r="C399" s="22">
        <v>5120</v>
      </c>
      <c r="D399" s="22">
        <v>5950</v>
      </c>
      <c r="E399" s="23">
        <v>0</v>
      </c>
      <c r="F399" s="23">
        <v>953</v>
      </c>
      <c r="G399" s="23">
        <f>D399+E399+F399</f>
        <v>6903</v>
      </c>
      <c r="H399" s="24">
        <v>0</v>
      </c>
      <c r="I399" s="25">
        <v>0</v>
      </c>
      <c r="J399" s="25">
        <v>0</v>
      </c>
      <c r="K399" s="25">
        <f>G399+H399</f>
        <v>6903</v>
      </c>
      <c r="L399" s="24">
        <v>0</v>
      </c>
      <c r="M399" s="24">
        <v>0</v>
      </c>
      <c r="N399" s="25">
        <f>K399+L399+M399</f>
        <v>6903</v>
      </c>
      <c r="O399" s="25">
        <v>7550</v>
      </c>
      <c r="P399" s="25">
        <v>0</v>
      </c>
      <c r="Q399" s="25">
        <v>35</v>
      </c>
      <c r="R399" s="24">
        <f t="shared" ref="R399:R406" si="177">O399+P399+Q399</f>
        <v>7585</v>
      </c>
      <c r="S399" s="26">
        <v>0</v>
      </c>
      <c r="T399" s="27">
        <v>0</v>
      </c>
      <c r="U399" s="27">
        <f>SUM(R399:T399)</f>
        <v>7585</v>
      </c>
      <c r="V399" s="26">
        <v>8250</v>
      </c>
      <c r="W399" s="26">
        <v>0</v>
      </c>
      <c r="X399" s="27">
        <v>0</v>
      </c>
      <c r="Y399" s="26">
        <v>0</v>
      </c>
      <c r="Z399" s="27">
        <f>SUM(V399:Y399)</f>
        <v>8250</v>
      </c>
      <c r="AA399" s="27">
        <v>0</v>
      </c>
      <c r="AB399" s="27">
        <v>0</v>
      </c>
      <c r="AC399" s="27">
        <f t="shared" si="161"/>
        <v>8250</v>
      </c>
      <c r="AD399" s="26">
        <v>0</v>
      </c>
      <c r="AE399" s="26">
        <v>0</v>
      </c>
      <c r="AF399" s="26">
        <f>AC399+AD399</f>
        <v>8250</v>
      </c>
      <c r="AG399" s="26">
        <f>280</f>
        <v>280</v>
      </c>
      <c r="AH399" s="26">
        <v>0</v>
      </c>
      <c r="AI399" s="26">
        <f>SUM(AF399:AH399)</f>
        <v>8530</v>
      </c>
    </row>
    <row r="400" spans="1:35" x14ac:dyDescent="0.25">
      <c r="A400" s="28" t="s">
        <v>419</v>
      </c>
      <c r="B400" s="141"/>
      <c r="C400" s="30">
        <v>157</v>
      </c>
      <c r="D400" s="30">
        <v>0</v>
      </c>
      <c r="E400" s="31">
        <v>0</v>
      </c>
      <c r="F400" s="31">
        <v>0</v>
      </c>
      <c r="G400" s="23">
        <f t="shared" ref="G400:G406" si="178">D400+E400+F400</f>
        <v>0</v>
      </c>
      <c r="H400" s="32">
        <v>0</v>
      </c>
      <c r="I400" s="25">
        <v>0</v>
      </c>
      <c r="J400" s="25">
        <v>0</v>
      </c>
      <c r="K400" s="25">
        <f t="shared" ref="K400:K406" si="179">G400+H400</f>
        <v>0</v>
      </c>
      <c r="L400" s="32">
        <v>0</v>
      </c>
      <c r="M400" s="32">
        <v>0</v>
      </c>
      <c r="N400" s="33">
        <f>K400+L400+M400</f>
        <v>0</v>
      </c>
      <c r="O400" s="33">
        <v>0</v>
      </c>
      <c r="P400" s="25">
        <v>0</v>
      </c>
      <c r="Q400" s="25">
        <v>0</v>
      </c>
      <c r="R400" s="31">
        <f t="shared" si="177"/>
        <v>0</v>
      </c>
      <c r="S400" s="34">
        <v>0</v>
      </c>
      <c r="T400" s="35">
        <v>0</v>
      </c>
      <c r="U400" s="35">
        <f t="shared" ref="U400:U406" si="180">SUM(R400:T400)</f>
        <v>0</v>
      </c>
      <c r="V400" s="34">
        <v>0</v>
      </c>
      <c r="W400" s="26">
        <f t="shared" ref="W400:W405" si="181">V400-U400</f>
        <v>0</v>
      </c>
      <c r="X400" s="27">
        <v>0</v>
      </c>
      <c r="Y400" s="26">
        <v>0</v>
      </c>
      <c r="Z400" s="35">
        <f t="shared" ref="Z400:AB408" si="182">SUM(V400:Y400)</f>
        <v>0</v>
      </c>
      <c r="AA400" s="35">
        <f t="shared" si="182"/>
        <v>0</v>
      </c>
      <c r="AB400" s="35">
        <f t="shared" si="182"/>
        <v>0</v>
      </c>
      <c r="AC400" s="27">
        <f t="shared" si="161"/>
        <v>0</v>
      </c>
      <c r="AD400" s="26">
        <v>0</v>
      </c>
      <c r="AE400" s="26">
        <v>0</v>
      </c>
      <c r="AF400" s="26">
        <f t="shared" ref="AF400:AF406" si="183">AC400+AD400</f>
        <v>0</v>
      </c>
      <c r="AG400" s="34">
        <v>0</v>
      </c>
      <c r="AH400" s="34">
        <v>0</v>
      </c>
      <c r="AI400" s="26">
        <f t="shared" ref="AI400:AI406" si="184">SUM(AF400:AH400)</f>
        <v>0</v>
      </c>
    </row>
    <row r="401" spans="1:35" ht="27.75" customHeight="1" x14ac:dyDescent="0.25">
      <c r="A401" s="28" t="s">
        <v>420</v>
      </c>
      <c r="B401" s="141"/>
      <c r="C401" s="30">
        <v>0</v>
      </c>
      <c r="D401" s="30">
        <v>0</v>
      </c>
      <c r="E401" s="31">
        <v>0</v>
      </c>
      <c r="F401" s="31">
        <v>0</v>
      </c>
      <c r="G401" s="31">
        <f t="shared" si="178"/>
        <v>0</v>
      </c>
      <c r="H401" s="32">
        <v>0</v>
      </c>
      <c r="I401" s="33">
        <v>0</v>
      </c>
      <c r="J401" s="33">
        <v>0</v>
      </c>
      <c r="K401" s="33">
        <f t="shared" si="179"/>
        <v>0</v>
      </c>
      <c r="L401" s="32">
        <v>0</v>
      </c>
      <c r="M401" s="32">
        <v>0</v>
      </c>
      <c r="N401" s="33">
        <f t="shared" ref="N401:N406" si="185">K401+L401+M401</f>
        <v>0</v>
      </c>
      <c r="O401" s="33">
        <v>0</v>
      </c>
      <c r="P401" s="25">
        <v>0</v>
      </c>
      <c r="Q401" s="25">
        <v>0</v>
      </c>
      <c r="R401" s="31">
        <f t="shared" si="177"/>
        <v>0</v>
      </c>
      <c r="S401" s="32">
        <v>0</v>
      </c>
      <c r="T401" s="33">
        <v>0</v>
      </c>
      <c r="U401" s="25">
        <f t="shared" si="180"/>
        <v>0</v>
      </c>
      <c r="V401" s="34">
        <v>0</v>
      </c>
      <c r="W401" s="34">
        <f t="shared" si="181"/>
        <v>0</v>
      </c>
      <c r="X401" s="35">
        <v>0</v>
      </c>
      <c r="Y401" s="34">
        <v>0</v>
      </c>
      <c r="Z401" s="35">
        <f t="shared" si="182"/>
        <v>0</v>
      </c>
      <c r="AA401" s="35">
        <f t="shared" si="182"/>
        <v>0</v>
      </c>
      <c r="AB401" s="35">
        <f t="shared" si="182"/>
        <v>0</v>
      </c>
      <c r="AC401" s="27">
        <f t="shared" si="161"/>
        <v>0</v>
      </c>
      <c r="AD401" s="26">
        <v>0</v>
      </c>
      <c r="AE401" s="26">
        <v>0</v>
      </c>
      <c r="AF401" s="26">
        <f t="shared" si="183"/>
        <v>0</v>
      </c>
      <c r="AG401" s="34">
        <v>0</v>
      </c>
      <c r="AH401" s="34">
        <v>0</v>
      </c>
      <c r="AI401" s="26">
        <f t="shared" si="184"/>
        <v>0</v>
      </c>
    </row>
    <row r="402" spans="1:35" ht="27" customHeight="1" x14ac:dyDescent="0.25">
      <c r="A402" s="28" t="s">
        <v>421</v>
      </c>
      <c r="B402" s="141"/>
      <c r="C402" s="30">
        <v>0</v>
      </c>
      <c r="D402" s="30">
        <v>0</v>
      </c>
      <c r="E402" s="31">
        <v>0</v>
      </c>
      <c r="F402" s="31">
        <v>0</v>
      </c>
      <c r="G402" s="31">
        <f t="shared" si="178"/>
        <v>0</v>
      </c>
      <c r="H402" s="32">
        <v>0</v>
      </c>
      <c r="I402" s="33">
        <v>0</v>
      </c>
      <c r="J402" s="33">
        <v>0</v>
      </c>
      <c r="K402" s="33">
        <f t="shared" si="179"/>
        <v>0</v>
      </c>
      <c r="L402" s="32">
        <v>0</v>
      </c>
      <c r="M402" s="32">
        <v>0</v>
      </c>
      <c r="N402" s="33">
        <f t="shared" si="185"/>
        <v>0</v>
      </c>
      <c r="O402" s="33">
        <v>0</v>
      </c>
      <c r="P402" s="25">
        <v>0</v>
      </c>
      <c r="Q402" s="25">
        <v>0</v>
      </c>
      <c r="R402" s="31">
        <f t="shared" si="177"/>
        <v>0</v>
      </c>
      <c r="S402" s="34">
        <v>0</v>
      </c>
      <c r="T402" s="35">
        <v>0</v>
      </c>
      <c r="U402" s="35">
        <f t="shared" si="180"/>
        <v>0</v>
      </c>
      <c r="V402" s="34">
        <v>0</v>
      </c>
      <c r="W402" s="34">
        <f t="shared" si="181"/>
        <v>0</v>
      </c>
      <c r="X402" s="27">
        <v>0</v>
      </c>
      <c r="Y402" s="26">
        <v>0</v>
      </c>
      <c r="Z402" s="35">
        <f t="shared" si="182"/>
        <v>0</v>
      </c>
      <c r="AA402" s="35">
        <f t="shared" si="182"/>
        <v>0</v>
      </c>
      <c r="AB402" s="35">
        <f t="shared" si="182"/>
        <v>0</v>
      </c>
      <c r="AC402" s="27">
        <f t="shared" si="161"/>
        <v>0</v>
      </c>
      <c r="AD402" s="26">
        <v>0</v>
      </c>
      <c r="AE402" s="26">
        <v>0</v>
      </c>
      <c r="AF402" s="26">
        <f t="shared" si="183"/>
        <v>0</v>
      </c>
      <c r="AG402" s="34">
        <v>0</v>
      </c>
      <c r="AH402" s="34">
        <v>0</v>
      </c>
      <c r="AI402" s="26">
        <f t="shared" si="184"/>
        <v>0</v>
      </c>
    </row>
    <row r="403" spans="1:35" x14ac:dyDescent="0.25">
      <c r="A403" s="28" t="s">
        <v>422</v>
      </c>
      <c r="B403" s="141"/>
      <c r="C403" s="30">
        <v>3200</v>
      </c>
      <c r="D403" s="30">
        <v>3200</v>
      </c>
      <c r="E403" s="31">
        <v>0</v>
      </c>
      <c r="F403" s="31">
        <f>-3200+3200</f>
        <v>0</v>
      </c>
      <c r="G403" s="23">
        <f t="shared" si="178"/>
        <v>3200</v>
      </c>
      <c r="H403" s="32">
        <v>0</v>
      </c>
      <c r="I403" s="25">
        <v>0</v>
      </c>
      <c r="J403" s="25">
        <v>0</v>
      </c>
      <c r="K403" s="25">
        <f t="shared" si="179"/>
        <v>3200</v>
      </c>
      <c r="L403" s="32">
        <v>0</v>
      </c>
      <c r="M403" s="32">
        <v>0</v>
      </c>
      <c r="N403" s="33">
        <f t="shared" si="185"/>
        <v>3200</v>
      </c>
      <c r="O403" s="33">
        <v>3200</v>
      </c>
      <c r="P403" s="32">
        <v>0</v>
      </c>
      <c r="Q403" s="33">
        <v>3200</v>
      </c>
      <c r="R403" s="31">
        <f t="shared" si="177"/>
        <v>6400</v>
      </c>
      <c r="S403" s="34">
        <v>0</v>
      </c>
      <c r="T403" s="35">
        <v>0</v>
      </c>
      <c r="U403" s="35">
        <f t="shared" si="180"/>
        <v>6400</v>
      </c>
      <c r="V403" s="34">
        <v>3200</v>
      </c>
      <c r="W403" s="34">
        <v>0</v>
      </c>
      <c r="X403" s="35">
        <v>0</v>
      </c>
      <c r="Y403" s="26">
        <v>0</v>
      </c>
      <c r="Z403" s="35">
        <f t="shared" si="182"/>
        <v>3200</v>
      </c>
      <c r="AA403" s="35">
        <v>0</v>
      </c>
      <c r="AB403" s="35">
        <v>0</v>
      </c>
      <c r="AC403" s="27">
        <f t="shared" si="161"/>
        <v>3200</v>
      </c>
      <c r="AD403" s="26">
        <v>0</v>
      </c>
      <c r="AE403" s="26">
        <v>0</v>
      </c>
      <c r="AF403" s="26">
        <f t="shared" si="183"/>
        <v>3200</v>
      </c>
      <c r="AG403" s="34">
        <v>0</v>
      </c>
      <c r="AH403" s="34">
        <v>0</v>
      </c>
      <c r="AI403" s="26">
        <f t="shared" si="184"/>
        <v>3200</v>
      </c>
    </row>
    <row r="404" spans="1:35" ht="15.75" customHeight="1" x14ac:dyDescent="0.25">
      <c r="A404" s="28" t="s">
        <v>423</v>
      </c>
      <c r="B404" s="141"/>
      <c r="C404" s="30">
        <v>0</v>
      </c>
      <c r="D404" s="30">
        <v>0</v>
      </c>
      <c r="E404" s="31">
        <v>0</v>
      </c>
      <c r="F404" s="31">
        <v>0</v>
      </c>
      <c r="G404" s="23">
        <f t="shared" si="178"/>
        <v>0</v>
      </c>
      <c r="H404" s="32">
        <v>0</v>
      </c>
      <c r="I404" s="25">
        <v>0</v>
      </c>
      <c r="J404" s="25">
        <v>0</v>
      </c>
      <c r="K404" s="25">
        <f t="shared" si="179"/>
        <v>0</v>
      </c>
      <c r="L404" s="32">
        <v>0</v>
      </c>
      <c r="M404" s="32">
        <v>0</v>
      </c>
      <c r="N404" s="33">
        <f t="shared" si="185"/>
        <v>0</v>
      </c>
      <c r="O404" s="33">
        <v>0</v>
      </c>
      <c r="P404" s="25">
        <v>0</v>
      </c>
      <c r="Q404" s="25">
        <v>0</v>
      </c>
      <c r="R404" s="31">
        <f t="shared" si="177"/>
        <v>0</v>
      </c>
      <c r="S404" s="34">
        <v>0</v>
      </c>
      <c r="T404" s="35">
        <v>0</v>
      </c>
      <c r="U404" s="35">
        <f t="shared" si="180"/>
        <v>0</v>
      </c>
      <c r="V404" s="34">
        <v>0</v>
      </c>
      <c r="W404" s="34">
        <f t="shared" si="181"/>
        <v>0</v>
      </c>
      <c r="X404" s="35">
        <v>0</v>
      </c>
      <c r="Y404" s="34">
        <v>0</v>
      </c>
      <c r="Z404" s="35">
        <f t="shared" si="182"/>
        <v>0</v>
      </c>
      <c r="AA404" s="35">
        <v>0</v>
      </c>
      <c r="AB404" s="35">
        <f t="shared" si="182"/>
        <v>0</v>
      </c>
      <c r="AC404" s="27">
        <f t="shared" si="161"/>
        <v>0</v>
      </c>
      <c r="AD404" s="26">
        <v>0</v>
      </c>
      <c r="AE404" s="26">
        <v>0</v>
      </c>
      <c r="AF404" s="26">
        <f t="shared" si="183"/>
        <v>0</v>
      </c>
      <c r="AG404" s="34">
        <f>12094.27+1318+552+10631+2437+9000+800+16292+134348+1704.22+2604</f>
        <v>191780.49000000002</v>
      </c>
      <c r="AH404" s="34">
        <v>0</v>
      </c>
      <c r="AI404" s="26">
        <f t="shared" si="184"/>
        <v>191780.49000000002</v>
      </c>
    </row>
    <row r="405" spans="1:35" x14ac:dyDescent="0.25">
      <c r="A405" s="28" t="s">
        <v>424</v>
      </c>
      <c r="B405" s="141"/>
      <c r="C405" s="30">
        <v>0</v>
      </c>
      <c r="D405" s="30">
        <v>0</v>
      </c>
      <c r="E405" s="31">
        <v>0</v>
      </c>
      <c r="F405" s="31">
        <v>0</v>
      </c>
      <c r="G405" s="23">
        <f t="shared" si="178"/>
        <v>0</v>
      </c>
      <c r="H405" s="32">
        <v>0</v>
      </c>
      <c r="I405" s="25">
        <v>0</v>
      </c>
      <c r="J405" s="25">
        <v>0</v>
      </c>
      <c r="K405" s="25">
        <f t="shared" si="179"/>
        <v>0</v>
      </c>
      <c r="L405" s="32">
        <v>0</v>
      </c>
      <c r="M405" s="32">
        <v>0</v>
      </c>
      <c r="N405" s="33">
        <f t="shared" si="185"/>
        <v>0</v>
      </c>
      <c r="O405" s="33">
        <v>0</v>
      </c>
      <c r="P405" s="25">
        <v>0</v>
      </c>
      <c r="Q405" s="25">
        <v>0</v>
      </c>
      <c r="R405" s="31">
        <f t="shared" si="177"/>
        <v>0</v>
      </c>
      <c r="S405" s="34">
        <v>0</v>
      </c>
      <c r="T405" s="35">
        <v>0</v>
      </c>
      <c r="U405" s="27">
        <f t="shared" si="180"/>
        <v>0</v>
      </c>
      <c r="V405" s="34">
        <v>0</v>
      </c>
      <c r="W405" s="34">
        <f t="shared" si="181"/>
        <v>0</v>
      </c>
      <c r="X405" s="35">
        <v>0</v>
      </c>
      <c r="Y405" s="26">
        <v>0</v>
      </c>
      <c r="Z405" s="35">
        <f t="shared" si="182"/>
        <v>0</v>
      </c>
      <c r="AA405" s="35">
        <v>0</v>
      </c>
      <c r="AB405" s="35">
        <f t="shared" si="182"/>
        <v>0</v>
      </c>
      <c r="AC405" s="27">
        <f t="shared" si="161"/>
        <v>0</v>
      </c>
      <c r="AD405" s="26">
        <v>0</v>
      </c>
      <c r="AE405" s="26">
        <v>0</v>
      </c>
      <c r="AF405" s="26">
        <f t="shared" si="183"/>
        <v>0</v>
      </c>
      <c r="AG405" s="34">
        <f>15073.9+865.98+242.85+7904.49+1600+5525+3000+1147+40</f>
        <v>35399.22</v>
      </c>
      <c r="AH405" s="34">
        <v>0</v>
      </c>
      <c r="AI405" s="26">
        <f t="shared" si="184"/>
        <v>35399.22</v>
      </c>
    </row>
    <row r="406" spans="1:35" ht="15" customHeight="1" thickBot="1" x14ac:dyDescent="0.3">
      <c r="A406" s="36" t="s">
        <v>425</v>
      </c>
      <c r="B406" s="147"/>
      <c r="C406" s="38">
        <v>60000.02</v>
      </c>
      <c r="D406" s="38">
        <v>65360.02</v>
      </c>
      <c r="E406" s="39">
        <v>0</v>
      </c>
      <c r="F406" s="39">
        <v>13603</v>
      </c>
      <c r="G406" s="39">
        <f t="shared" si="178"/>
        <v>78963.01999999999</v>
      </c>
      <c r="H406" s="41">
        <v>0</v>
      </c>
      <c r="I406" s="42">
        <v>0</v>
      </c>
      <c r="J406" s="42">
        <v>0</v>
      </c>
      <c r="K406" s="42">
        <f t="shared" si="179"/>
        <v>78963.01999999999</v>
      </c>
      <c r="L406" s="41">
        <v>0</v>
      </c>
      <c r="M406" s="41">
        <v>0</v>
      </c>
      <c r="N406" s="42">
        <f t="shared" si="185"/>
        <v>78963.01999999999</v>
      </c>
      <c r="O406" s="42">
        <v>20000.009999999998</v>
      </c>
      <c r="P406" s="42">
        <v>0</v>
      </c>
      <c r="Q406" s="42">
        <v>0</v>
      </c>
      <c r="R406" s="39">
        <f t="shared" si="177"/>
        <v>20000.009999999998</v>
      </c>
      <c r="S406" s="44">
        <v>0</v>
      </c>
      <c r="T406" s="45">
        <v>0</v>
      </c>
      <c r="U406" s="45">
        <f t="shared" si="180"/>
        <v>20000.009999999998</v>
      </c>
      <c r="V406" s="44">
        <v>20000</v>
      </c>
      <c r="W406" s="44">
        <v>0</v>
      </c>
      <c r="X406" s="45">
        <v>0</v>
      </c>
      <c r="Y406" s="44">
        <v>0</v>
      </c>
      <c r="Z406" s="45">
        <f t="shared" si="182"/>
        <v>20000</v>
      </c>
      <c r="AA406" s="45">
        <v>0</v>
      </c>
      <c r="AB406" s="45">
        <v>0</v>
      </c>
      <c r="AC406" s="45">
        <f t="shared" si="161"/>
        <v>20000</v>
      </c>
      <c r="AD406" s="44">
        <v>0</v>
      </c>
      <c r="AE406" s="44">
        <v>0</v>
      </c>
      <c r="AF406" s="44">
        <f t="shared" si="183"/>
        <v>20000</v>
      </c>
      <c r="AG406" s="44">
        <v>0</v>
      </c>
      <c r="AH406" s="44">
        <v>0</v>
      </c>
      <c r="AI406" s="26">
        <f t="shared" si="184"/>
        <v>20000</v>
      </c>
    </row>
    <row r="407" spans="1:35" ht="18.75" customHeight="1" thickBot="1" x14ac:dyDescent="0.3">
      <c r="A407" s="61" t="s">
        <v>426</v>
      </c>
      <c r="B407" s="254"/>
      <c r="C407" s="93">
        <f>C399+C400+C401+C402+C403+C404+C405+C406</f>
        <v>68477.01999999999</v>
      </c>
      <c r="D407" s="93">
        <f>D399+D400+D401+D402+D403+D404+D405+D406</f>
        <v>74510.01999999999</v>
      </c>
      <c r="E407" s="93">
        <f t="shared" ref="E407:Q407" si="186">E399+E400+E401+E402+E403+E404+E405+E406</f>
        <v>0</v>
      </c>
      <c r="F407" s="93">
        <f t="shared" si="186"/>
        <v>14556</v>
      </c>
      <c r="G407" s="94">
        <f t="shared" si="186"/>
        <v>89066.01999999999</v>
      </c>
      <c r="H407" s="94">
        <f t="shared" si="186"/>
        <v>0</v>
      </c>
      <c r="I407" s="94">
        <f t="shared" si="186"/>
        <v>0</v>
      </c>
      <c r="J407" s="94">
        <f t="shared" si="186"/>
        <v>0</v>
      </c>
      <c r="K407" s="94">
        <f t="shared" si="186"/>
        <v>89066.01999999999</v>
      </c>
      <c r="L407" s="94">
        <f t="shared" si="186"/>
        <v>0</v>
      </c>
      <c r="M407" s="94">
        <f t="shared" si="186"/>
        <v>0</v>
      </c>
      <c r="N407" s="94">
        <f t="shared" si="186"/>
        <v>89066.01999999999</v>
      </c>
      <c r="O407" s="94">
        <f>O399+O400+O401+O402+O403+O404+O405+O406</f>
        <v>30750.01</v>
      </c>
      <c r="P407" s="94">
        <f t="shared" si="186"/>
        <v>0</v>
      </c>
      <c r="Q407" s="94">
        <f t="shared" si="186"/>
        <v>3235</v>
      </c>
      <c r="R407" s="94">
        <f>R399+R400+R401+R402+R403+R404+R405+R406</f>
        <v>33985.009999999995</v>
      </c>
      <c r="S407" s="95">
        <f t="shared" ref="S407:Y407" si="187">SUM(S399:S406)</f>
        <v>0</v>
      </c>
      <c r="T407" s="96">
        <f t="shared" si="187"/>
        <v>0</v>
      </c>
      <c r="U407" s="96">
        <f t="shared" si="187"/>
        <v>33985.009999999995</v>
      </c>
      <c r="V407" s="95">
        <f t="shared" si="187"/>
        <v>31450</v>
      </c>
      <c r="W407" s="95">
        <f t="shared" si="187"/>
        <v>0</v>
      </c>
      <c r="X407" s="96">
        <f t="shared" si="187"/>
        <v>0</v>
      </c>
      <c r="Y407" s="95">
        <f t="shared" si="187"/>
        <v>0</v>
      </c>
      <c r="Z407" s="97">
        <f t="shared" si="182"/>
        <v>31450</v>
      </c>
      <c r="AA407" s="97">
        <f>SUM(AA399:AA406)</f>
        <v>0</v>
      </c>
      <c r="AB407" s="97">
        <f>SUM(AB399:AB406)</f>
        <v>0</v>
      </c>
      <c r="AC407" s="97">
        <f t="shared" si="161"/>
        <v>31450</v>
      </c>
      <c r="AD407" s="98">
        <f>SUM(AD399:AD406)</f>
        <v>0</v>
      </c>
      <c r="AE407" s="98">
        <f>SUM(AE399:AE406)</f>
        <v>0</v>
      </c>
      <c r="AF407" s="98">
        <f>SUM(AF399:AF406)</f>
        <v>31450</v>
      </c>
      <c r="AG407" s="98">
        <f>SUM(AG399:AG406)</f>
        <v>227459.71000000002</v>
      </c>
      <c r="AH407" s="98">
        <f>SUM(AH399:AH406)</f>
        <v>0</v>
      </c>
      <c r="AI407" s="95">
        <f>SUM(AF407:AH407)</f>
        <v>258909.71000000002</v>
      </c>
    </row>
    <row r="408" spans="1:35" ht="21.75" customHeight="1" thickBot="1" x14ac:dyDescent="0.3">
      <c r="A408" s="99" t="s">
        <v>427</v>
      </c>
      <c r="B408" s="255"/>
      <c r="C408" s="101" t="e">
        <f t="shared" ref="C408:Q408" si="188">C396+C407</f>
        <v>#REF!</v>
      </c>
      <c r="D408" s="101" t="e">
        <f t="shared" si="188"/>
        <v>#REF!</v>
      </c>
      <c r="E408" s="101" t="e">
        <f t="shared" si="188"/>
        <v>#REF!</v>
      </c>
      <c r="F408" s="101" t="e">
        <f t="shared" si="188"/>
        <v>#REF!</v>
      </c>
      <c r="G408" s="102" t="e">
        <f t="shared" si="188"/>
        <v>#REF!</v>
      </c>
      <c r="H408" s="102" t="e">
        <f t="shared" si="188"/>
        <v>#REF!</v>
      </c>
      <c r="I408" s="102" t="e">
        <f t="shared" si="188"/>
        <v>#REF!</v>
      </c>
      <c r="J408" s="102" t="e">
        <f t="shared" si="188"/>
        <v>#REF!</v>
      </c>
      <c r="K408" s="102" t="e">
        <f t="shared" si="188"/>
        <v>#REF!</v>
      </c>
      <c r="L408" s="102" t="e">
        <f t="shared" si="188"/>
        <v>#REF!</v>
      </c>
      <c r="M408" s="102" t="e">
        <f t="shared" si="188"/>
        <v>#REF!</v>
      </c>
      <c r="N408" s="102" t="e">
        <f t="shared" si="188"/>
        <v>#REF!</v>
      </c>
      <c r="O408" s="102" t="e">
        <f>O396+O407</f>
        <v>#REF!</v>
      </c>
      <c r="P408" s="102" t="e">
        <f t="shared" si="188"/>
        <v>#REF!</v>
      </c>
      <c r="Q408" s="102" t="e">
        <f t="shared" si="188"/>
        <v>#REF!</v>
      </c>
      <c r="R408" s="102" t="e">
        <f>R396+R407</f>
        <v>#REF!</v>
      </c>
      <c r="S408" s="103">
        <f>SUM(S407+S396)</f>
        <v>-6923.9900000000016</v>
      </c>
      <c r="T408" s="104">
        <f>SUM(T396,T407)</f>
        <v>14621.4</v>
      </c>
      <c r="U408" s="104">
        <f>SUM(U407+U396)</f>
        <v>1615516.41</v>
      </c>
      <c r="V408" s="103">
        <f>V407+V396</f>
        <v>1657171.6400000001</v>
      </c>
      <c r="W408" s="103">
        <f>SUM(W396+W407)</f>
        <v>167931.94</v>
      </c>
      <c r="X408" s="104">
        <f>SUM(X396+X407)</f>
        <v>0</v>
      </c>
      <c r="Y408" s="103">
        <f>SUM(Y396+Y407)</f>
        <v>57986.38</v>
      </c>
      <c r="Z408" s="104">
        <f t="shared" si="182"/>
        <v>1883089.96</v>
      </c>
      <c r="AA408" s="104">
        <f>SUM(AA396+AA407)</f>
        <v>-49831.15</v>
      </c>
      <c r="AB408" s="104">
        <f>SUM(AB396+AB407)</f>
        <v>24633.119999999995</v>
      </c>
      <c r="AC408" s="104">
        <f>Z408+AA408+AB408</f>
        <v>1857891.9300000002</v>
      </c>
      <c r="AD408" s="103">
        <f>AD396+AD407</f>
        <v>-63643.090000000004</v>
      </c>
      <c r="AE408" s="103">
        <f>SUM(AE396+AE407)</f>
        <v>12111.189999999999</v>
      </c>
      <c r="AF408" s="103">
        <f>AF396+AF407</f>
        <v>1811125.35</v>
      </c>
      <c r="AG408" s="103">
        <f>SUM(AG396+AG407)</f>
        <v>30966.070000000036</v>
      </c>
      <c r="AH408" s="103">
        <f>SUM(AH396+AH407)</f>
        <v>3266.16</v>
      </c>
      <c r="AI408" s="103">
        <f>SUM(AF408:AH408)</f>
        <v>1845357.58</v>
      </c>
    </row>
    <row r="409" spans="1:35" x14ac:dyDescent="0.25">
      <c r="A409" s="256"/>
      <c r="B409" s="256"/>
      <c r="C409" s="257"/>
      <c r="D409" s="257"/>
      <c r="E409" s="257"/>
      <c r="F409" s="257"/>
      <c r="G409" s="257"/>
      <c r="H409" s="258"/>
      <c r="I409" s="258"/>
      <c r="J409" s="258"/>
      <c r="K409" s="257"/>
      <c r="L409" s="256"/>
      <c r="M409" s="257"/>
      <c r="N409" s="256"/>
      <c r="O409" s="256"/>
      <c r="P409" s="256"/>
      <c r="Q409" s="256"/>
      <c r="R409" s="256"/>
    </row>
    <row r="410" spans="1:35" ht="16.5" customHeight="1" x14ac:dyDescent="0.25">
      <c r="A410" s="256"/>
      <c r="B410" s="256"/>
      <c r="C410" s="257"/>
      <c r="D410" s="257"/>
      <c r="E410" s="257"/>
      <c r="F410" s="257"/>
      <c r="G410" s="257"/>
      <c r="H410" s="258"/>
      <c r="I410" s="258"/>
      <c r="J410" s="258"/>
      <c r="K410" s="257"/>
      <c r="L410" s="256"/>
      <c r="M410" s="256"/>
      <c r="N410" s="256"/>
      <c r="O410" s="256"/>
      <c r="P410" s="256"/>
      <c r="Q410" s="256"/>
      <c r="R410" s="256"/>
    </row>
    <row r="411" spans="1:35" ht="23.25" customHeight="1" x14ac:dyDescent="0.25">
      <c r="A411" s="259"/>
      <c r="B411" s="259"/>
      <c r="C411" s="259"/>
      <c r="D411" s="259"/>
      <c r="E411" s="259"/>
      <c r="F411" s="259"/>
      <c r="G411" s="259"/>
      <c r="H411" s="258"/>
      <c r="I411" s="258"/>
      <c r="J411" s="258"/>
      <c r="K411" s="257"/>
      <c r="L411" s="256"/>
      <c r="M411" s="256"/>
      <c r="N411" s="256"/>
      <c r="O411" s="256"/>
      <c r="P411" s="256"/>
      <c r="Q411" s="256"/>
      <c r="R411" s="256"/>
    </row>
    <row r="412" spans="1:35" x14ac:dyDescent="0.25">
      <c r="A412" s="256"/>
      <c r="B412" s="256"/>
      <c r="C412" s="257"/>
      <c r="D412" s="257"/>
      <c r="E412" s="257"/>
      <c r="F412" s="257"/>
      <c r="G412" s="257"/>
      <c r="H412" s="258"/>
      <c r="I412" s="258"/>
      <c r="J412" s="258"/>
      <c r="K412" s="257"/>
      <c r="L412" s="256"/>
      <c r="M412" s="256"/>
      <c r="N412" s="256"/>
      <c r="O412" s="256"/>
      <c r="P412" s="257"/>
      <c r="Q412" s="257"/>
      <c r="R412" s="256"/>
    </row>
    <row r="413" spans="1:35" x14ac:dyDescent="0.25">
      <c r="A413" s="256"/>
      <c r="B413" s="256"/>
      <c r="C413" s="257"/>
      <c r="D413" s="257"/>
      <c r="E413" s="257"/>
      <c r="F413" s="257"/>
      <c r="G413" s="257"/>
      <c r="H413" s="258"/>
      <c r="I413" s="258"/>
      <c r="J413" s="258"/>
      <c r="K413" s="257"/>
      <c r="L413" s="256"/>
      <c r="M413" s="256"/>
      <c r="N413" s="256"/>
      <c r="O413" s="256"/>
      <c r="P413" s="256"/>
      <c r="Q413" s="256"/>
      <c r="R413" s="256"/>
    </row>
    <row r="414" spans="1:35" x14ac:dyDescent="0.25">
      <c r="A414" s="256"/>
      <c r="B414" s="256"/>
      <c r="C414" s="257"/>
      <c r="D414" s="257"/>
      <c r="E414" s="257"/>
      <c r="F414" s="257"/>
      <c r="G414" s="257"/>
      <c r="H414" s="258"/>
      <c r="I414" s="258"/>
      <c r="J414" s="258"/>
      <c r="K414" s="257"/>
      <c r="L414" s="256"/>
      <c r="M414" s="256"/>
      <c r="N414" s="256"/>
      <c r="O414" s="256"/>
      <c r="P414" s="256"/>
      <c r="Q414" s="256"/>
      <c r="R414" s="256"/>
    </row>
    <row r="415" spans="1:35" x14ac:dyDescent="0.25">
      <c r="A415" s="256"/>
      <c r="B415" s="256"/>
      <c r="C415" s="257"/>
      <c r="D415" s="257"/>
      <c r="E415" s="257"/>
      <c r="F415" s="257"/>
      <c r="G415" s="257"/>
      <c r="H415" s="257"/>
      <c r="I415" s="257"/>
      <c r="J415" s="257"/>
      <c r="K415" s="257"/>
      <c r="L415" s="256"/>
      <c r="M415" s="256"/>
      <c r="N415" s="256"/>
      <c r="O415" s="256"/>
      <c r="P415" s="256"/>
      <c r="Q415" s="256"/>
      <c r="R415" s="256"/>
    </row>
    <row r="416" spans="1:35" x14ac:dyDescent="0.25">
      <c r="A416" s="256"/>
      <c r="B416" s="256"/>
      <c r="C416" s="257"/>
      <c r="D416" s="257"/>
      <c r="E416" s="257"/>
      <c r="F416" s="257"/>
      <c r="G416" s="257"/>
      <c r="H416" s="257"/>
      <c r="I416" s="257"/>
      <c r="J416" s="257"/>
      <c r="K416" s="257"/>
      <c r="L416" s="256"/>
      <c r="M416" s="256"/>
      <c r="N416" s="256"/>
      <c r="O416" s="256"/>
      <c r="P416" s="256"/>
      <c r="Q416" s="256"/>
      <c r="R416" s="256"/>
    </row>
    <row r="417" spans="1:18" x14ac:dyDescent="0.25">
      <c r="A417" s="256"/>
      <c r="B417" s="256"/>
      <c r="C417" s="257"/>
      <c r="D417" s="257"/>
      <c r="E417" s="257"/>
      <c r="F417" s="257"/>
      <c r="G417" s="257"/>
      <c r="H417" s="257"/>
      <c r="I417" s="257"/>
      <c r="J417" s="257"/>
      <c r="K417" s="257"/>
      <c r="L417" s="256"/>
      <c r="M417" s="256"/>
      <c r="N417" s="256"/>
      <c r="O417" s="256"/>
      <c r="P417" s="256"/>
      <c r="Q417" s="256"/>
      <c r="R417" s="256"/>
    </row>
    <row r="418" spans="1:18" x14ac:dyDescent="0.25">
      <c r="A418" s="256"/>
      <c r="B418" s="256"/>
      <c r="C418" s="257"/>
      <c r="D418" s="257"/>
      <c r="E418" s="257"/>
      <c r="F418" s="257"/>
      <c r="G418" s="257"/>
      <c r="H418" s="257"/>
      <c r="I418" s="257"/>
      <c r="J418" s="257"/>
      <c r="K418" s="257"/>
      <c r="L418" s="256"/>
      <c r="M418" s="256"/>
      <c r="N418" s="256"/>
      <c r="O418" s="256"/>
      <c r="P418" s="256"/>
      <c r="Q418" s="256"/>
      <c r="R418" s="256"/>
    </row>
    <row r="419" spans="1:18" x14ac:dyDescent="0.25">
      <c r="A419" s="256"/>
      <c r="B419" s="256"/>
      <c r="C419" s="257"/>
      <c r="D419" s="257"/>
      <c r="E419" s="257"/>
      <c r="F419" s="257"/>
      <c r="G419" s="257"/>
      <c r="H419" s="257"/>
      <c r="I419" s="257"/>
      <c r="J419" s="257"/>
      <c r="K419" s="257"/>
      <c r="L419" s="256"/>
      <c r="M419" s="256"/>
      <c r="N419" s="256"/>
      <c r="O419" s="256"/>
      <c r="P419" s="256"/>
      <c r="Q419" s="256"/>
      <c r="R419" s="256"/>
    </row>
    <row r="420" spans="1:18" x14ac:dyDescent="0.25">
      <c r="A420" s="256"/>
      <c r="B420" s="256"/>
      <c r="C420" s="257"/>
      <c r="D420" s="257"/>
      <c r="E420" s="257"/>
      <c r="F420" s="257"/>
      <c r="G420" s="257"/>
      <c r="H420" s="257"/>
      <c r="I420" s="257"/>
      <c r="J420" s="257"/>
      <c r="K420" s="257"/>
      <c r="L420" s="256"/>
      <c r="M420" s="256"/>
      <c r="N420" s="256"/>
      <c r="O420" s="256"/>
      <c r="P420" s="256"/>
      <c r="Q420" s="256"/>
      <c r="R420" s="256"/>
    </row>
    <row r="421" spans="1:18" x14ac:dyDescent="0.25">
      <c r="A421" s="256"/>
      <c r="B421" s="256"/>
      <c r="C421" s="257"/>
      <c r="D421" s="257"/>
      <c r="E421" s="257"/>
      <c r="F421" s="257"/>
      <c r="G421" s="257"/>
      <c r="H421" s="257"/>
      <c r="I421" s="257"/>
      <c r="J421" s="257"/>
      <c r="K421" s="257"/>
      <c r="L421" s="256"/>
      <c r="M421" s="256"/>
      <c r="N421" s="256"/>
      <c r="O421" s="256"/>
      <c r="P421" s="256"/>
      <c r="Q421" s="256"/>
      <c r="R421" s="256"/>
    </row>
    <row r="422" spans="1:18" x14ac:dyDescent="0.25">
      <c r="A422" s="256"/>
      <c r="B422" s="256"/>
      <c r="C422" s="257"/>
      <c r="D422" s="257"/>
      <c r="E422" s="257"/>
      <c r="F422" s="257"/>
      <c r="G422" s="257"/>
      <c r="H422" s="257"/>
      <c r="I422" s="257"/>
      <c r="J422" s="257"/>
      <c r="K422" s="257"/>
      <c r="L422" s="256"/>
      <c r="M422" s="256"/>
      <c r="N422" s="256"/>
      <c r="O422" s="256"/>
      <c r="P422" s="256"/>
      <c r="Q422" s="256"/>
      <c r="R422" s="256"/>
    </row>
    <row r="423" spans="1:18" x14ac:dyDescent="0.25">
      <c r="A423" s="256"/>
      <c r="B423" s="256"/>
      <c r="C423" s="257"/>
      <c r="D423" s="257"/>
      <c r="E423" s="257"/>
      <c r="F423" s="257"/>
      <c r="G423" s="257"/>
      <c r="H423" s="257"/>
      <c r="I423" s="257"/>
      <c r="J423" s="257"/>
      <c r="K423" s="257"/>
      <c r="L423" s="256"/>
      <c r="M423" s="256"/>
      <c r="N423" s="256"/>
      <c r="O423" s="256"/>
      <c r="P423" s="256"/>
      <c r="Q423" s="256"/>
      <c r="R423" s="256"/>
    </row>
    <row r="424" spans="1:18" x14ac:dyDescent="0.25">
      <c r="A424" s="256"/>
      <c r="B424" s="256"/>
      <c r="C424" s="257"/>
      <c r="D424" s="257"/>
      <c r="E424" s="257"/>
      <c r="F424" s="257"/>
      <c r="G424" s="257"/>
      <c r="H424" s="257"/>
      <c r="I424" s="257"/>
      <c r="J424" s="257"/>
      <c r="K424" s="257"/>
    </row>
    <row r="425" spans="1:18" x14ac:dyDescent="0.25">
      <c r="A425" s="256"/>
      <c r="B425" s="256"/>
      <c r="C425" s="257"/>
      <c r="D425" s="257"/>
      <c r="E425" s="257"/>
      <c r="F425" s="257"/>
      <c r="G425" s="257"/>
      <c r="H425" s="257"/>
      <c r="I425" s="257"/>
      <c r="J425" s="257"/>
      <c r="K425" s="257"/>
    </row>
    <row r="426" spans="1:18" x14ac:dyDescent="0.25">
      <c r="A426" s="256"/>
      <c r="B426" s="256"/>
      <c r="C426" s="257"/>
      <c r="D426" s="257"/>
      <c r="E426" s="257"/>
      <c r="F426" s="257"/>
      <c r="G426" s="257"/>
      <c r="H426" s="257"/>
      <c r="I426" s="257"/>
      <c r="J426" s="257"/>
      <c r="K426" s="257"/>
    </row>
    <row r="427" spans="1:18" x14ac:dyDescent="0.25">
      <c r="A427" s="256"/>
      <c r="B427" s="256"/>
      <c r="C427" s="257"/>
      <c r="D427" s="257"/>
      <c r="E427" s="257"/>
      <c r="F427" s="257"/>
      <c r="G427" s="257"/>
      <c r="H427" s="257"/>
      <c r="I427" s="257"/>
      <c r="J427" s="257"/>
      <c r="K427" s="257"/>
    </row>
    <row r="428" spans="1:18" x14ac:dyDescent="0.25">
      <c r="A428" s="256"/>
      <c r="B428" s="256"/>
      <c r="C428" s="257"/>
      <c r="D428" s="257"/>
      <c r="E428" s="257"/>
      <c r="F428" s="257"/>
      <c r="G428" s="257"/>
      <c r="H428" s="257"/>
      <c r="I428" s="257"/>
      <c r="J428" s="257"/>
      <c r="K428" s="257"/>
    </row>
    <row r="429" spans="1:18" x14ac:dyDescent="0.25">
      <c r="A429" s="256"/>
      <c r="B429" s="256"/>
      <c r="C429" s="257"/>
      <c r="D429" s="257"/>
      <c r="E429" s="257"/>
      <c r="F429" s="257"/>
      <c r="G429" s="257"/>
      <c r="H429" s="257"/>
      <c r="I429" s="257"/>
      <c r="J429" s="257"/>
      <c r="K429" s="257"/>
    </row>
    <row r="430" spans="1:18" x14ac:dyDescent="0.25">
      <c r="A430" s="256"/>
      <c r="B430" s="256"/>
      <c r="C430" s="257"/>
      <c r="D430" s="257"/>
      <c r="E430" s="257"/>
      <c r="F430" s="257"/>
      <c r="G430" s="257"/>
      <c r="H430" s="257"/>
      <c r="I430" s="257"/>
      <c r="J430" s="257"/>
      <c r="K430" s="257"/>
    </row>
    <row r="431" spans="1:18" x14ac:dyDescent="0.25">
      <c r="A431" s="256"/>
      <c r="B431" s="256"/>
      <c r="C431" s="257"/>
      <c r="D431" s="257"/>
      <c r="E431" s="257"/>
      <c r="F431" s="257"/>
      <c r="G431" s="257"/>
      <c r="H431" s="257"/>
      <c r="I431" s="257"/>
      <c r="J431" s="257"/>
      <c r="K431" s="257"/>
    </row>
    <row r="432" spans="1:18" x14ac:dyDescent="0.25">
      <c r="A432" s="256"/>
      <c r="B432" s="256"/>
      <c r="C432" s="257"/>
      <c r="D432" s="257"/>
      <c r="E432" s="257"/>
      <c r="F432" s="257"/>
      <c r="G432" s="257"/>
      <c r="H432" s="257"/>
      <c r="I432" s="257"/>
      <c r="J432" s="257"/>
      <c r="K432" s="257"/>
    </row>
    <row r="433" spans="1:11" x14ac:dyDescent="0.25">
      <c r="A433" s="256"/>
      <c r="B433" s="256"/>
      <c r="C433" s="257"/>
      <c r="D433" s="257"/>
      <c r="E433" s="257"/>
      <c r="F433" s="257"/>
      <c r="G433" s="257"/>
      <c r="H433" s="257"/>
      <c r="I433" s="257"/>
      <c r="J433" s="257"/>
      <c r="K433" s="257"/>
    </row>
    <row r="434" spans="1:11" ht="15.75" customHeight="1" x14ac:dyDescent="0.25">
      <c r="A434" s="256"/>
      <c r="B434" s="256"/>
      <c r="C434" s="257"/>
      <c r="D434" s="257"/>
      <c r="E434" s="257"/>
      <c r="F434" s="257"/>
      <c r="G434" s="257"/>
      <c r="H434" s="257"/>
      <c r="I434" s="257"/>
      <c r="J434" s="257"/>
      <c r="K434" s="256"/>
    </row>
    <row r="435" spans="1:11" x14ac:dyDescent="0.25">
      <c r="A435" s="256"/>
      <c r="B435" s="256"/>
      <c r="C435" s="257"/>
      <c r="D435" s="257"/>
      <c r="E435" s="257"/>
      <c r="F435" s="257"/>
      <c r="G435" s="257"/>
      <c r="H435" s="257"/>
      <c r="I435" s="257"/>
      <c r="J435" s="257"/>
      <c r="K435" s="256"/>
    </row>
    <row r="436" spans="1:11" x14ac:dyDescent="0.25">
      <c r="A436" s="256"/>
      <c r="B436" s="256"/>
      <c r="C436" s="257"/>
      <c r="D436" s="257"/>
      <c r="E436" s="257"/>
      <c r="F436" s="257"/>
      <c r="G436" s="257"/>
      <c r="H436" s="257"/>
      <c r="I436" s="257"/>
      <c r="J436" s="257"/>
      <c r="K436" s="256"/>
    </row>
    <row r="437" spans="1:11" x14ac:dyDescent="0.25">
      <c r="A437" s="256"/>
      <c r="B437" s="256"/>
      <c r="C437" s="257"/>
      <c r="D437" s="257"/>
      <c r="E437" s="257"/>
      <c r="F437" s="257"/>
      <c r="G437" s="257"/>
      <c r="H437" s="257"/>
      <c r="I437" s="257"/>
      <c r="J437" s="257"/>
      <c r="K437" s="256"/>
    </row>
    <row r="438" spans="1:11" x14ac:dyDescent="0.25">
      <c r="A438" s="256"/>
      <c r="B438" s="256"/>
      <c r="C438" s="257"/>
      <c r="D438" s="257"/>
      <c r="E438" s="257"/>
      <c r="F438" s="257"/>
      <c r="G438" s="257"/>
      <c r="H438" s="257"/>
      <c r="I438" s="257"/>
      <c r="J438" s="257"/>
      <c r="K438" s="256"/>
    </row>
    <row r="439" spans="1:11" x14ac:dyDescent="0.25">
      <c r="A439" s="256"/>
      <c r="B439" s="256"/>
      <c r="C439" s="257"/>
      <c r="D439" s="257"/>
      <c r="E439" s="257"/>
      <c r="F439" s="257"/>
      <c r="G439" s="257"/>
      <c r="H439" s="257"/>
      <c r="I439" s="257"/>
      <c r="J439" s="257"/>
      <c r="K439" s="256"/>
    </row>
    <row r="440" spans="1:11" x14ac:dyDescent="0.25">
      <c r="A440" s="256"/>
      <c r="B440" s="256"/>
      <c r="C440" s="257"/>
      <c r="D440" s="257"/>
      <c r="E440" s="257"/>
      <c r="F440" s="257"/>
      <c r="G440" s="257"/>
      <c r="H440" s="257"/>
      <c r="I440" s="257"/>
      <c r="J440" s="257"/>
      <c r="K440" s="256"/>
    </row>
    <row r="441" spans="1:11" x14ac:dyDescent="0.25">
      <c r="A441" s="256"/>
      <c r="B441" s="256"/>
      <c r="C441" s="257"/>
      <c r="D441" s="257"/>
      <c r="E441" s="257"/>
      <c r="F441" s="257"/>
      <c r="G441" s="257"/>
      <c r="H441" s="257"/>
      <c r="I441" s="257"/>
      <c r="J441" s="257"/>
      <c r="K441" s="256"/>
    </row>
    <row r="442" spans="1:11" x14ac:dyDescent="0.25">
      <c r="A442" s="256"/>
      <c r="B442" s="256"/>
      <c r="C442" s="257"/>
      <c r="D442" s="257"/>
      <c r="E442" s="257"/>
      <c r="F442" s="257"/>
      <c r="G442" s="257"/>
      <c r="H442" s="257"/>
      <c r="I442" s="257"/>
      <c r="J442" s="257"/>
      <c r="K442" s="256"/>
    </row>
    <row r="443" spans="1:11" x14ac:dyDescent="0.25">
      <c r="A443" s="256"/>
      <c r="B443" s="256"/>
      <c r="C443" s="257"/>
      <c r="D443" s="257"/>
      <c r="E443" s="257"/>
      <c r="F443" s="257"/>
      <c r="G443" s="257"/>
      <c r="H443" s="257"/>
      <c r="I443" s="257"/>
      <c r="J443" s="257"/>
      <c r="K443" s="256"/>
    </row>
    <row r="444" spans="1:11" x14ac:dyDescent="0.25">
      <c r="A444" s="256"/>
      <c r="B444" s="256"/>
      <c r="C444" s="257"/>
      <c r="D444" s="257"/>
      <c r="E444" s="257"/>
      <c r="F444" s="257"/>
      <c r="G444" s="257"/>
      <c r="H444" s="257"/>
      <c r="I444" s="257"/>
      <c r="J444" s="257"/>
      <c r="K444" s="256"/>
    </row>
    <row r="445" spans="1:11" x14ac:dyDescent="0.25">
      <c r="A445" s="256"/>
      <c r="B445" s="256"/>
      <c r="C445" s="257"/>
      <c r="D445" s="257"/>
      <c r="E445" s="257"/>
      <c r="F445" s="257"/>
      <c r="G445" s="257"/>
      <c r="H445" s="257"/>
      <c r="I445" s="257"/>
      <c r="J445" s="257"/>
      <c r="K445" s="256"/>
    </row>
    <row r="446" spans="1:11" x14ac:dyDescent="0.25">
      <c r="A446" s="256"/>
      <c r="B446" s="256"/>
      <c r="C446" s="257"/>
      <c r="D446" s="257"/>
      <c r="E446" s="257"/>
      <c r="F446" s="257"/>
      <c r="G446" s="257"/>
      <c r="H446" s="257"/>
      <c r="I446" s="257"/>
      <c r="J446" s="257"/>
      <c r="K446" s="256"/>
    </row>
    <row r="447" spans="1:11" x14ac:dyDescent="0.25">
      <c r="A447" s="256"/>
      <c r="B447" s="256"/>
      <c r="C447" s="257"/>
      <c r="D447" s="257"/>
      <c r="E447" s="257"/>
      <c r="F447" s="257"/>
      <c r="G447" s="257"/>
      <c r="H447" s="257"/>
      <c r="I447" s="257"/>
      <c r="J447" s="257"/>
      <c r="K447" s="256"/>
    </row>
    <row r="448" spans="1:11" x14ac:dyDescent="0.25">
      <c r="A448" s="256"/>
      <c r="B448" s="256"/>
      <c r="C448" s="257"/>
      <c r="D448" s="257"/>
      <c r="E448" s="257"/>
      <c r="F448" s="257"/>
      <c r="G448" s="257"/>
      <c r="H448" s="257"/>
      <c r="I448" s="257"/>
      <c r="J448" s="257"/>
      <c r="K448" s="256"/>
    </row>
    <row r="449" spans="1:11" x14ac:dyDescent="0.25">
      <c r="A449" s="256"/>
      <c r="B449" s="256"/>
      <c r="C449" s="257"/>
      <c r="D449" s="257"/>
      <c r="E449" s="257"/>
      <c r="F449" s="257"/>
      <c r="G449" s="257"/>
      <c r="H449" s="257"/>
      <c r="I449" s="257"/>
      <c r="J449" s="257"/>
      <c r="K449" s="256"/>
    </row>
    <row r="450" spans="1:11" x14ac:dyDescent="0.25">
      <c r="A450" s="256"/>
      <c r="B450" s="256"/>
      <c r="C450" s="257"/>
      <c r="D450" s="257"/>
      <c r="E450" s="257"/>
      <c r="F450" s="257"/>
      <c r="G450" s="257"/>
      <c r="H450" s="257"/>
      <c r="I450" s="257"/>
      <c r="J450" s="257"/>
      <c r="K450" s="256"/>
    </row>
    <row r="451" spans="1:11" x14ac:dyDescent="0.25">
      <c r="A451" s="256"/>
      <c r="B451" s="256"/>
      <c r="C451" s="257"/>
      <c r="D451" s="257"/>
      <c r="E451" s="257"/>
      <c r="F451" s="257"/>
      <c r="G451" s="257"/>
      <c r="H451" s="257"/>
      <c r="I451" s="257"/>
      <c r="J451" s="257"/>
      <c r="K451" s="256"/>
    </row>
    <row r="452" spans="1:11" x14ac:dyDescent="0.25">
      <c r="A452" s="256"/>
      <c r="B452" s="256"/>
      <c r="C452" s="257"/>
      <c r="D452" s="257"/>
      <c r="E452" s="257"/>
      <c r="F452" s="257"/>
      <c r="G452" s="257"/>
      <c r="H452" s="257"/>
      <c r="I452" s="257"/>
      <c r="J452" s="257"/>
      <c r="K452" s="256"/>
    </row>
    <row r="453" spans="1:11" ht="16.5" customHeight="1" x14ac:dyDescent="0.25">
      <c r="A453" s="256"/>
      <c r="B453" s="256"/>
      <c r="C453" s="257"/>
      <c r="D453" s="257"/>
      <c r="E453" s="257"/>
      <c r="F453" s="257"/>
      <c r="G453" s="257"/>
      <c r="H453" s="257"/>
      <c r="I453" s="257"/>
      <c r="J453" s="257"/>
      <c r="K453" s="256"/>
    </row>
    <row r="454" spans="1:11" x14ac:dyDescent="0.25">
      <c r="A454" s="256"/>
      <c r="B454" s="256"/>
      <c r="C454" s="257"/>
      <c r="D454" s="257"/>
      <c r="E454" s="257"/>
      <c r="F454" s="257"/>
      <c r="G454" s="257"/>
      <c r="H454" s="257"/>
      <c r="I454" s="257"/>
      <c r="J454" s="257"/>
      <c r="K454" s="256"/>
    </row>
    <row r="455" spans="1:11" x14ac:dyDescent="0.25">
      <c r="A455" s="256"/>
      <c r="B455" s="256"/>
      <c r="C455" s="257"/>
      <c r="D455" s="257"/>
      <c r="E455" s="257"/>
      <c r="F455" s="257"/>
      <c r="G455" s="257"/>
      <c r="H455" s="257"/>
      <c r="I455" s="257"/>
      <c r="J455" s="257"/>
      <c r="K455" s="256"/>
    </row>
    <row r="456" spans="1:11" x14ac:dyDescent="0.25">
      <c r="A456" s="256"/>
      <c r="B456" s="256"/>
      <c r="C456" s="257"/>
      <c r="D456" s="257"/>
      <c r="E456" s="257"/>
      <c r="F456" s="257"/>
      <c r="G456" s="257"/>
      <c r="H456" s="257"/>
      <c r="I456" s="257"/>
      <c r="J456" s="257"/>
      <c r="K456" s="256"/>
    </row>
    <row r="457" spans="1:11" x14ac:dyDescent="0.25">
      <c r="A457" s="256"/>
      <c r="B457" s="256"/>
      <c r="C457" s="257"/>
      <c r="D457" s="257"/>
      <c r="E457" s="257"/>
      <c r="F457" s="257"/>
      <c r="G457" s="257"/>
      <c r="H457" s="257"/>
      <c r="I457" s="257"/>
      <c r="J457" s="257"/>
      <c r="K457" s="256"/>
    </row>
    <row r="458" spans="1:11" x14ac:dyDescent="0.25">
      <c r="A458" s="256"/>
      <c r="B458" s="256"/>
      <c r="C458" s="257"/>
      <c r="D458" s="257"/>
      <c r="E458" s="257"/>
      <c r="F458" s="257"/>
      <c r="G458" s="257"/>
      <c r="H458" s="257"/>
      <c r="I458" s="257"/>
      <c r="J458" s="257"/>
      <c r="K458" s="256"/>
    </row>
    <row r="459" spans="1:11" x14ac:dyDescent="0.25">
      <c r="A459" s="256"/>
      <c r="B459" s="256"/>
      <c r="C459" s="257"/>
      <c r="D459" s="257"/>
      <c r="E459" s="257"/>
      <c r="F459" s="257"/>
      <c r="G459" s="257"/>
      <c r="H459" s="257"/>
      <c r="I459" s="257"/>
      <c r="J459" s="257"/>
      <c r="K459" s="256"/>
    </row>
    <row r="460" spans="1:11" x14ac:dyDescent="0.25">
      <c r="A460" s="256"/>
      <c r="B460" s="256"/>
      <c r="C460" s="257"/>
      <c r="D460" s="257"/>
      <c r="E460" s="257"/>
      <c r="F460" s="257"/>
      <c r="G460" s="257"/>
      <c r="H460" s="257"/>
      <c r="I460" s="257"/>
      <c r="J460" s="257"/>
      <c r="K460" s="256"/>
    </row>
    <row r="461" spans="1:11" x14ac:dyDescent="0.25">
      <c r="A461" s="256"/>
      <c r="B461" s="256"/>
      <c r="C461" s="257"/>
      <c r="D461" s="257"/>
      <c r="E461" s="257"/>
      <c r="F461" s="257"/>
      <c r="G461" s="257"/>
      <c r="H461" s="257"/>
      <c r="I461" s="257"/>
      <c r="J461" s="257"/>
      <c r="K461" s="256"/>
    </row>
    <row r="462" spans="1:11" x14ac:dyDescent="0.25">
      <c r="A462" s="256"/>
      <c r="B462" s="256"/>
      <c r="C462" s="257"/>
      <c r="D462" s="257"/>
      <c r="E462" s="257"/>
      <c r="F462" s="257"/>
      <c r="G462" s="257"/>
      <c r="H462" s="257"/>
      <c r="I462" s="257"/>
      <c r="J462" s="257"/>
      <c r="K462" s="256"/>
    </row>
    <row r="463" spans="1:11" x14ac:dyDescent="0.25">
      <c r="A463" s="256"/>
      <c r="B463" s="256"/>
      <c r="C463" s="257"/>
      <c r="D463" s="257"/>
      <c r="E463" s="257"/>
      <c r="F463" s="257"/>
      <c r="G463" s="257"/>
      <c r="H463" s="257"/>
      <c r="I463" s="257"/>
      <c r="J463" s="257"/>
      <c r="K463" s="256"/>
    </row>
    <row r="464" spans="1:11" x14ac:dyDescent="0.25">
      <c r="A464" s="256"/>
      <c r="B464" s="256"/>
      <c r="C464" s="257"/>
      <c r="D464" s="257"/>
      <c r="E464" s="257"/>
      <c r="F464" s="257"/>
      <c r="G464" s="257"/>
      <c r="H464" s="257"/>
      <c r="I464" s="257"/>
      <c r="J464" s="257"/>
      <c r="K464" s="256"/>
    </row>
    <row r="465" spans="1:11" x14ac:dyDescent="0.25">
      <c r="A465" s="256"/>
      <c r="B465" s="256"/>
      <c r="C465" s="257"/>
      <c r="D465" s="257"/>
      <c r="E465" s="257"/>
      <c r="F465" s="257"/>
      <c r="G465" s="257"/>
      <c r="H465" s="257"/>
      <c r="I465" s="257"/>
      <c r="J465" s="257"/>
      <c r="K465" s="256"/>
    </row>
    <row r="466" spans="1:11" ht="15.75" customHeight="1" x14ac:dyDescent="0.25">
      <c r="A466" s="256"/>
      <c r="B466" s="256"/>
      <c r="C466" s="257"/>
      <c r="D466" s="257"/>
      <c r="E466" s="257"/>
      <c r="F466" s="257"/>
      <c r="G466" s="257"/>
      <c r="H466" s="257"/>
      <c r="I466" s="257"/>
      <c r="J466" s="257"/>
      <c r="K466" s="256"/>
    </row>
    <row r="467" spans="1:11" x14ac:dyDescent="0.25">
      <c r="A467" s="256"/>
      <c r="B467" s="256"/>
      <c r="C467" s="257"/>
      <c r="D467" s="257"/>
      <c r="E467" s="257"/>
      <c r="F467" s="257"/>
      <c r="G467" s="257"/>
      <c r="H467" s="257"/>
      <c r="I467" s="257"/>
      <c r="J467" s="257"/>
      <c r="K467" s="256"/>
    </row>
    <row r="468" spans="1:11" x14ac:dyDescent="0.25">
      <c r="A468" s="256"/>
      <c r="B468" s="256"/>
      <c r="C468" s="257"/>
      <c r="D468" s="257"/>
      <c r="E468" s="257"/>
      <c r="F468" s="257"/>
      <c r="G468" s="257"/>
      <c r="H468" s="257"/>
      <c r="I468" s="257"/>
      <c r="J468" s="257"/>
      <c r="K468" s="256"/>
    </row>
    <row r="469" spans="1:11" x14ac:dyDescent="0.25">
      <c r="A469" s="256"/>
      <c r="B469" s="256"/>
      <c r="C469" s="257"/>
      <c r="D469" s="257"/>
      <c r="E469" s="257"/>
      <c r="F469" s="257"/>
      <c r="G469" s="257"/>
      <c r="H469" s="257"/>
      <c r="I469" s="257"/>
      <c r="J469" s="257"/>
      <c r="K469" s="256"/>
    </row>
    <row r="470" spans="1:11" x14ac:dyDescent="0.25">
      <c r="A470" s="256"/>
      <c r="B470" s="256"/>
      <c r="C470" s="257"/>
      <c r="D470" s="257"/>
      <c r="E470" s="257"/>
      <c r="F470" s="257"/>
      <c r="G470" s="257"/>
      <c r="H470" s="257"/>
      <c r="I470" s="257"/>
      <c r="J470" s="257"/>
      <c r="K470" s="256"/>
    </row>
    <row r="471" spans="1:11" x14ac:dyDescent="0.25">
      <c r="A471" s="256"/>
      <c r="B471" s="256"/>
      <c r="C471" s="257"/>
      <c r="D471" s="257"/>
      <c r="E471" s="257"/>
      <c r="F471" s="257"/>
      <c r="G471" s="257"/>
      <c r="H471" s="257"/>
      <c r="I471" s="257"/>
      <c r="J471" s="257"/>
      <c r="K471" s="256"/>
    </row>
    <row r="472" spans="1:11" x14ac:dyDescent="0.25">
      <c r="A472" s="256"/>
      <c r="B472" s="256"/>
      <c r="C472" s="257"/>
      <c r="D472" s="257"/>
      <c r="E472" s="257"/>
      <c r="F472" s="257"/>
      <c r="G472" s="257"/>
      <c r="H472" s="257"/>
      <c r="I472" s="257"/>
      <c r="J472" s="257"/>
      <c r="K472" s="256"/>
    </row>
    <row r="473" spans="1:11" x14ac:dyDescent="0.25">
      <c r="A473" s="256"/>
      <c r="B473" s="256"/>
      <c r="C473" s="257"/>
      <c r="D473" s="257"/>
      <c r="E473" s="257"/>
      <c r="F473" s="257"/>
      <c r="G473" s="257"/>
      <c r="H473" s="257"/>
      <c r="I473" s="257"/>
      <c r="J473" s="257"/>
      <c r="K473" s="256"/>
    </row>
    <row r="474" spans="1:11" x14ac:dyDescent="0.25">
      <c r="A474" s="256"/>
      <c r="B474" s="256"/>
      <c r="C474" s="257"/>
      <c r="D474" s="257"/>
      <c r="E474" s="257"/>
      <c r="F474" s="257"/>
      <c r="G474" s="257"/>
      <c r="H474" s="257"/>
      <c r="I474" s="257"/>
      <c r="J474" s="257"/>
      <c r="K474" s="256"/>
    </row>
    <row r="475" spans="1:11" x14ac:dyDescent="0.25">
      <c r="A475" s="256"/>
      <c r="B475" s="256"/>
      <c r="C475" s="257"/>
      <c r="D475" s="257"/>
      <c r="E475" s="257"/>
      <c r="F475" s="257"/>
      <c r="G475" s="257"/>
      <c r="H475" s="257"/>
      <c r="I475" s="257"/>
      <c r="J475" s="257"/>
      <c r="K475" s="256"/>
    </row>
    <row r="476" spans="1:11" x14ac:dyDescent="0.25">
      <c r="A476" s="256"/>
      <c r="B476" s="256"/>
      <c r="C476" s="257"/>
      <c r="D476" s="257"/>
      <c r="E476" s="257"/>
      <c r="F476" s="257"/>
      <c r="G476" s="257"/>
      <c r="H476" s="257"/>
      <c r="I476" s="257"/>
      <c r="J476" s="257"/>
      <c r="K476" s="256"/>
    </row>
    <row r="477" spans="1:11" x14ac:dyDescent="0.25">
      <c r="A477" s="256"/>
      <c r="B477" s="256"/>
      <c r="C477" s="257"/>
      <c r="D477" s="257"/>
      <c r="E477" s="257"/>
      <c r="F477" s="257"/>
      <c r="G477" s="257"/>
      <c r="H477" s="257"/>
      <c r="I477" s="257"/>
      <c r="J477" s="257"/>
      <c r="K477" s="256"/>
    </row>
    <row r="478" spans="1:11" x14ac:dyDescent="0.25">
      <c r="A478" s="256"/>
      <c r="B478" s="256"/>
      <c r="C478" s="257"/>
      <c r="D478" s="257"/>
      <c r="E478" s="257"/>
      <c r="F478" s="257"/>
      <c r="G478" s="257"/>
      <c r="H478" s="257"/>
      <c r="I478" s="257"/>
      <c r="J478" s="257"/>
      <c r="K478" s="256"/>
    </row>
    <row r="479" spans="1:11" x14ac:dyDescent="0.25">
      <c r="A479" s="256"/>
      <c r="B479" s="256"/>
      <c r="C479" s="257"/>
      <c r="D479" s="257"/>
      <c r="E479" s="257"/>
      <c r="F479" s="257"/>
      <c r="G479" s="257"/>
      <c r="H479" s="257"/>
      <c r="I479" s="257"/>
      <c r="J479" s="257"/>
      <c r="K479" s="256"/>
    </row>
    <row r="480" spans="1:11" x14ac:dyDescent="0.25">
      <c r="A480" s="256"/>
      <c r="B480" s="256"/>
      <c r="C480" s="257"/>
      <c r="D480" s="257"/>
      <c r="E480" s="257"/>
      <c r="F480" s="257"/>
      <c r="G480" s="257"/>
      <c r="H480" s="257"/>
      <c r="I480" s="257"/>
      <c r="J480" s="257"/>
      <c r="K480" s="256"/>
    </row>
    <row r="481" spans="1:11" x14ac:dyDescent="0.25">
      <c r="A481" s="256"/>
      <c r="B481" s="256"/>
      <c r="C481" s="257"/>
      <c r="D481" s="257"/>
      <c r="E481" s="257"/>
      <c r="F481" s="257"/>
      <c r="G481" s="257"/>
      <c r="H481" s="257"/>
      <c r="I481" s="257"/>
      <c r="J481" s="257"/>
      <c r="K481" s="256"/>
    </row>
    <row r="482" spans="1:11" x14ac:dyDescent="0.25">
      <c r="A482" s="256"/>
      <c r="B482" s="256"/>
      <c r="C482" s="257"/>
      <c r="D482" s="257"/>
      <c r="E482" s="257"/>
      <c r="F482" s="257"/>
      <c r="G482" s="257"/>
      <c r="H482" s="257"/>
      <c r="I482" s="257"/>
      <c r="J482" s="257"/>
      <c r="K482" s="256"/>
    </row>
    <row r="483" spans="1:11" x14ac:dyDescent="0.25">
      <c r="A483" s="256"/>
      <c r="B483" s="256"/>
      <c r="C483" s="257"/>
      <c r="D483" s="257"/>
      <c r="E483" s="257"/>
      <c r="F483" s="257"/>
      <c r="G483" s="257"/>
      <c r="H483" s="257"/>
      <c r="I483" s="257"/>
      <c r="J483" s="257"/>
      <c r="K483" s="256"/>
    </row>
    <row r="484" spans="1:11" x14ac:dyDescent="0.25">
      <c r="A484" s="256"/>
      <c r="B484" s="256"/>
      <c r="C484" s="257"/>
      <c r="D484" s="257"/>
      <c r="E484" s="257"/>
      <c r="F484" s="257"/>
      <c r="G484" s="257"/>
      <c r="H484" s="257"/>
      <c r="I484" s="257"/>
      <c r="J484" s="257"/>
      <c r="K484" s="256"/>
    </row>
    <row r="485" spans="1:11" x14ac:dyDescent="0.25">
      <c r="A485" s="256"/>
      <c r="B485" s="256"/>
      <c r="C485" s="257"/>
      <c r="D485" s="257"/>
      <c r="E485" s="257"/>
      <c r="F485" s="257"/>
      <c r="G485" s="257"/>
      <c r="H485" s="257"/>
      <c r="I485" s="257"/>
      <c r="J485" s="257"/>
      <c r="K485" s="256"/>
    </row>
    <row r="486" spans="1:11" ht="16.5" customHeight="1" x14ac:dyDescent="0.25">
      <c r="A486" s="256"/>
      <c r="B486" s="256"/>
      <c r="C486" s="257"/>
      <c r="D486" s="257"/>
      <c r="E486" s="257"/>
      <c r="F486" s="257"/>
      <c r="G486" s="257"/>
      <c r="H486" s="257"/>
      <c r="I486" s="257"/>
      <c r="J486" s="257"/>
      <c r="K486" s="256"/>
    </row>
    <row r="487" spans="1:11" x14ac:dyDescent="0.25">
      <c r="A487" s="256"/>
      <c r="B487" s="256"/>
      <c r="C487" s="257"/>
      <c r="D487" s="257"/>
      <c r="E487" s="257"/>
      <c r="F487" s="257"/>
      <c r="G487" s="257"/>
      <c r="H487" s="257"/>
      <c r="I487" s="257"/>
      <c r="J487" s="257"/>
      <c r="K487" s="256"/>
    </row>
    <row r="488" spans="1:11" x14ac:dyDescent="0.25">
      <c r="A488" s="256"/>
      <c r="B488" s="256"/>
      <c r="C488" s="257"/>
      <c r="D488" s="257"/>
      <c r="E488" s="257"/>
      <c r="F488" s="257"/>
      <c r="G488" s="257"/>
      <c r="H488" s="257"/>
      <c r="I488" s="257"/>
      <c r="J488" s="257"/>
      <c r="K488" s="256"/>
    </row>
    <row r="489" spans="1:11" x14ac:dyDescent="0.25">
      <c r="A489" s="256"/>
      <c r="B489" s="256"/>
      <c r="C489" s="257"/>
      <c r="D489" s="257"/>
      <c r="E489" s="257"/>
      <c r="F489" s="257"/>
      <c r="G489" s="257"/>
      <c r="H489" s="257"/>
      <c r="I489" s="257"/>
      <c r="J489" s="257"/>
      <c r="K489" s="256"/>
    </row>
    <row r="490" spans="1:11" x14ac:dyDescent="0.25">
      <c r="A490" s="256"/>
      <c r="B490" s="256"/>
      <c r="C490" s="257"/>
      <c r="D490" s="257"/>
      <c r="E490" s="257"/>
      <c r="F490" s="257"/>
      <c r="G490" s="257"/>
      <c r="H490" s="257"/>
      <c r="I490" s="257"/>
      <c r="J490" s="257"/>
      <c r="K490" s="256"/>
    </row>
    <row r="491" spans="1:11" x14ac:dyDescent="0.25">
      <c r="A491" s="256"/>
      <c r="B491" s="256"/>
      <c r="C491" s="257"/>
      <c r="D491" s="257"/>
      <c r="E491" s="257"/>
      <c r="F491" s="257"/>
      <c r="G491" s="257"/>
      <c r="H491" s="257"/>
      <c r="I491" s="257"/>
      <c r="J491" s="257"/>
      <c r="K491" s="256"/>
    </row>
    <row r="492" spans="1:11" x14ac:dyDescent="0.25">
      <c r="A492" s="256"/>
      <c r="B492" s="256"/>
      <c r="C492" s="257"/>
      <c r="D492" s="257"/>
      <c r="E492" s="257"/>
      <c r="F492" s="257"/>
      <c r="G492" s="257"/>
      <c r="H492" s="257"/>
      <c r="I492" s="257"/>
      <c r="J492" s="257"/>
      <c r="K492" s="256"/>
    </row>
    <row r="493" spans="1:11" x14ac:dyDescent="0.25">
      <c r="A493" s="256"/>
      <c r="B493" s="256"/>
      <c r="C493" s="257"/>
      <c r="D493" s="257"/>
      <c r="E493" s="257"/>
      <c r="F493" s="257"/>
      <c r="G493" s="257"/>
      <c r="H493" s="257"/>
      <c r="I493" s="257"/>
      <c r="J493" s="257"/>
      <c r="K493" s="256"/>
    </row>
    <row r="494" spans="1:11" x14ac:dyDescent="0.25">
      <c r="A494" s="256"/>
      <c r="B494" s="256"/>
      <c r="C494" s="257"/>
      <c r="D494" s="257"/>
      <c r="E494" s="257"/>
      <c r="F494" s="257"/>
      <c r="G494" s="257"/>
      <c r="H494" s="257"/>
      <c r="I494" s="257"/>
      <c r="J494" s="257"/>
      <c r="K494" s="256"/>
    </row>
    <row r="495" spans="1:11" x14ac:dyDescent="0.25">
      <c r="A495" s="256"/>
      <c r="B495" s="256"/>
      <c r="C495" s="257"/>
      <c r="D495" s="257"/>
      <c r="E495" s="257"/>
      <c r="F495" s="257"/>
      <c r="G495" s="257"/>
      <c r="H495" s="257"/>
      <c r="I495" s="257"/>
      <c r="J495" s="257"/>
      <c r="K495" s="256"/>
    </row>
    <row r="496" spans="1:11" x14ac:dyDescent="0.25">
      <c r="A496" s="256"/>
      <c r="B496" s="256"/>
      <c r="C496" s="257"/>
      <c r="D496" s="257"/>
      <c r="E496" s="257"/>
      <c r="F496" s="257"/>
      <c r="G496" s="257"/>
      <c r="H496" s="257"/>
      <c r="I496" s="257"/>
      <c r="J496" s="257"/>
      <c r="K496" s="256"/>
    </row>
    <row r="497" spans="1:11" x14ac:dyDescent="0.25">
      <c r="A497" s="256"/>
      <c r="B497" s="256"/>
      <c r="C497" s="257"/>
      <c r="D497" s="257"/>
      <c r="E497" s="257"/>
      <c r="F497" s="257"/>
      <c r="G497" s="257"/>
      <c r="H497" s="257"/>
      <c r="I497" s="257"/>
      <c r="J497" s="257"/>
      <c r="K497" s="256"/>
    </row>
    <row r="498" spans="1:11" x14ac:dyDescent="0.25">
      <c r="A498" s="256"/>
      <c r="B498" s="256"/>
      <c r="C498" s="257"/>
      <c r="D498" s="257"/>
      <c r="E498" s="257"/>
      <c r="F498" s="257"/>
      <c r="G498" s="257"/>
      <c r="H498" s="257"/>
      <c r="I498" s="257"/>
      <c r="J498" s="257"/>
      <c r="K498" s="256"/>
    </row>
    <row r="499" spans="1:11" x14ac:dyDescent="0.25">
      <c r="A499" s="256"/>
      <c r="B499" s="256"/>
      <c r="C499" s="257"/>
      <c r="D499" s="257"/>
      <c r="E499" s="257"/>
      <c r="F499" s="257"/>
      <c r="G499" s="257"/>
      <c r="H499" s="257"/>
      <c r="I499" s="257"/>
      <c r="J499" s="257"/>
      <c r="K499" s="256"/>
    </row>
    <row r="500" spans="1:11" x14ac:dyDescent="0.25">
      <c r="A500" s="256"/>
      <c r="B500" s="256"/>
      <c r="C500" s="257"/>
      <c r="D500" s="257"/>
      <c r="E500" s="257"/>
      <c r="F500" s="257"/>
      <c r="G500" s="257"/>
      <c r="H500" s="257"/>
      <c r="I500" s="257"/>
      <c r="J500" s="257"/>
      <c r="K500" s="256"/>
    </row>
    <row r="501" spans="1:11" x14ac:dyDescent="0.25">
      <c r="A501" s="256"/>
      <c r="B501" s="256"/>
      <c r="C501" s="257"/>
      <c r="D501" s="257"/>
      <c r="E501" s="257"/>
      <c r="F501" s="257"/>
      <c r="G501" s="257"/>
      <c r="H501" s="257"/>
      <c r="I501" s="257"/>
      <c r="J501" s="257"/>
      <c r="K501" s="256"/>
    </row>
    <row r="502" spans="1:11" x14ac:dyDescent="0.25">
      <c r="A502" s="256"/>
      <c r="B502" s="256"/>
      <c r="C502" s="257"/>
      <c r="D502" s="257"/>
      <c r="E502" s="257"/>
      <c r="F502" s="257"/>
      <c r="G502" s="257"/>
      <c r="H502" s="257"/>
      <c r="I502" s="257"/>
      <c r="J502" s="257"/>
      <c r="K502" s="256"/>
    </row>
    <row r="503" spans="1:11" x14ac:dyDescent="0.25">
      <c r="A503" s="256"/>
      <c r="B503" s="256"/>
      <c r="C503" s="257"/>
      <c r="D503" s="257"/>
      <c r="E503" s="257"/>
      <c r="F503" s="257"/>
      <c r="G503" s="257"/>
      <c r="H503" s="257"/>
      <c r="I503" s="257"/>
      <c r="J503" s="257"/>
      <c r="K503" s="256"/>
    </row>
    <row r="504" spans="1:11" x14ac:dyDescent="0.25">
      <c r="A504" s="256"/>
      <c r="B504" s="256"/>
      <c r="C504" s="257"/>
      <c r="D504" s="257"/>
      <c r="E504" s="257"/>
      <c r="F504" s="257"/>
      <c r="G504" s="257"/>
      <c r="H504" s="257"/>
      <c r="I504" s="257"/>
      <c r="J504" s="257"/>
      <c r="K504" s="256"/>
    </row>
    <row r="505" spans="1:11" x14ac:dyDescent="0.25">
      <c r="A505" s="256"/>
      <c r="B505" s="256"/>
      <c r="C505" s="257"/>
      <c r="D505" s="257"/>
      <c r="E505" s="257"/>
      <c r="F505" s="257"/>
      <c r="G505" s="257"/>
      <c r="H505" s="257"/>
      <c r="I505" s="257"/>
      <c r="J505" s="257"/>
      <c r="K505" s="256"/>
    </row>
    <row r="506" spans="1:11" x14ac:dyDescent="0.25">
      <c r="A506" s="256"/>
      <c r="B506" s="256"/>
      <c r="C506" s="257"/>
      <c r="D506" s="257"/>
      <c r="E506" s="257"/>
      <c r="F506" s="257"/>
      <c r="G506" s="257"/>
      <c r="H506" s="257"/>
      <c r="I506" s="257"/>
      <c r="J506" s="257"/>
      <c r="K506" s="256"/>
    </row>
    <row r="507" spans="1:11" x14ac:dyDescent="0.25">
      <c r="A507" s="256"/>
      <c r="B507" s="256"/>
      <c r="C507" s="257"/>
      <c r="D507" s="257"/>
      <c r="E507" s="257"/>
      <c r="F507" s="257"/>
      <c r="G507" s="257"/>
      <c r="H507" s="257"/>
      <c r="I507" s="257"/>
      <c r="J507" s="257"/>
      <c r="K507" s="256"/>
    </row>
    <row r="508" spans="1:11" x14ac:dyDescent="0.25">
      <c r="A508" s="256"/>
      <c r="B508" s="256"/>
      <c r="C508" s="257"/>
      <c r="D508" s="257"/>
      <c r="E508" s="257"/>
      <c r="F508" s="257"/>
      <c r="G508" s="257"/>
      <c r="H508" s="257"/>
      <c r="I508" s="257"/>
      <c r="J508" s="257"/>
      <c r="K508" s="256"/>
    </row>
    <row r="509" spans="1:11" x14ac:dyDescent="0.25">
      <c r="A509" s="256"/>
      <c r="B509" s="256"/>
      <c r="C509" s="257"/>
      <c r="D509" s="257"/>
      <c r="E509" s="257"/>
      <c r="F509" s="257"/>
      <c r="G509" s="257"/>
      <c r="H509" s="257"/>
      <c r="I509" s="257"/>
      <c r="J509" s="257"/>
      <c r="K509" s="256"/>
    </row>
    <row r="510" spans="1:11" x14ac:dyDescent="0.25">
      <c r="A510" s="256"/>
      <c r="B510" s="256"/>
      <c r="C510" s="257"/>
      <c r="D510" s="257"/>
      <c r="E510" s="257"/>
      <c r="F510" s="257"/>
      <c r="G510" s="257"/>
      <c r="H510" s="257"/>
      <c r="I510" s="257"/>
      <c r="J510" s="257"/>
      <c r="K510" s="256"/>
    </row>
    <row r="511" spans="1:11" x14ac:dyDescent="0.25">
      <c r="A511" s="256"/>
      <c r="B511" s="256"/>
      <c r="C511" s="257"/>
      <c r="D511" s="257"/>
      <c r="E511" s="257"/>
      <c r="F511" s="257"/>
      <c r="G511" s="257"/>
      <c r="H511" s="257"/>
      <c r="I511" s="257"/>
      <c r="J511" s="257"/>
      <c r="K511" s="256"/>
    </row>
    <row r="512" spans="1:11" x14ac:dyDescent="0.25">
      <c r="A512" s="256"/>
      <c r="B512" s="256"/>
      <c r="C512" s="257"/>
      <c r="D512" s="257"/>
      <c r="E512" s="257"/>
      <c r="F512" s="257"/>
      <c r="G512" s="257"/>
      <c r="H512" s="257"/>
      <c r="I512" s="257"/>
      <c r="J512" s="257"/>
      <c r="K512" s="256"/>
    </row>
    <row r="513" spans="1:11" x14ac:dyDescent="0.25">
      <c r="A513" s="256"/>
      <c r="B513" s="256"/>
      <c r="C513" s="257"/>
      <c r="D513" s="257"/>
      <c r="E513" s="257"/>
      <c r="F513" s="257"/>
      <c r="G513" s="257"/>
      <c r="H513" s="257"/>
      <c r="I513" s="257"/>
      <c r="J513" s="257"/>
      <c r="K513" s="256"/>
    </row>
    <row r="514" spans="1:11" ht="15.75" customHeight="1" x14ac:dyDescent="0.25">
      <c r="A514" s="256"/>
      <c r="B514" s="256"/>
      <c r="C514" s="257"/>
      <c r="D514" s="257"/>
      <c r="E514" s="257"/>
      <c r="F514" s="257"/>
      <c r="G514" s="257"/>
      <c r="H514" s="257"/>
      <c r="I514" s="257"/>
      <c r="J514" s="257"/>
      <c r="K514" s="256"/>
    </row>
    <row r="515" spans="1:11" x14ac:dyDescent="0.25">
      <c r="A515" s="256"/>
      <c r="B515" s="256"/>
      <c r="C515" s="257"/>
      <c r="D515" s="257"/>
      <c r="E515" s="257"/>
      <c r="F515" s="257"/>
      <c r="G515" s="257"/>
      <c r="H515" s="257"/>
      <c r="I515" s="257"/>
      <c r="J515" s="257"/>
      <c r="K515" s="256"/>
    </row>
    <row r="516" spans="1:11" x14ac:dyDescent="0.25">
      <c r="A516" s="256"/>
      <c r="B516" s="256"/>
      <c r="C516" s="257"/>
      <c r="D516" s="257"/>
      <c r="E516" s="257"/>
      <c r="F516" s="257"/>
      <c r="G516" s="257"/>
      <c r="H516" s="257"/>
      <c r="I516" s="257"/>
      <c r="J516" s="257"/>
      <c r="K516" s="256"/>
    </row>
    <row r="517" spans="1:11" x14ac:dyDescent="0.25">
      <c r="A517" s="256"/>
      <c r="B517" s="256"/>
      <c r="C517" s="257"/>
      <c r="D517" s="257"/>
      <c r="E517" s="257"/>
      <c r="F517" s="257"/>
      <c r="G517" s="257"/>
      <c r="H517" s="257"/>
      <c r="I517" s="257"/>
      <c r="J517" s="257"/>
      <c r="K517" s="256"/>
    </row>
    <row r="518" spans="1:11" x14ac:dyDescent="0.25">
      <c r="A518" s="256"/>
      <c r="B518" s="256"/>
      <c r="C518" s="257"/>
      <c r="D518" s="257"/>
      <c r="E518" s="257"/>
      <c r="F518" s="257"/>
      <c r="G518" s="257"/>
      <c r="H518" s="257"/>
      <c r="I518" s="257"/>
      <c r="J518" s="257"/>
      <c r="K518" s="256"/>
    </row>
    <row r="519" spans="1:11" x14ac:dyDescent="0.25">
      <c r="A519" s="256"/>
      <c r="B519" s="256"/>
      <c r="C519" s="257"/>
      <c r="D519" s="257"/>
      <c r="E519" s="257"/>
      <c r="F519" s="257"/>
      <c r="G519" s="257"/>
      <c r="H519" s="257"/>
      <c r="I519" s="257"/>
      <c r="J519" s="257"/>
      <c r="K519" s="256"/>
    </row>
    <row r="520" spans="1:11" x14ac:dyDescent="0.25">
      <c r="A520" s="256"/>
      <c r="B520" s="256"/>
      <c r="C520" s="257"/>
      <c r="D520" s="257"/>
      <c r="E520" s="257"/>
      <c r="F520" s="257"/>
      <c r="G520" s="257"/>
      <c r="H520" s="257"/>
      <c r="I520" s="257"/>
      <c r="J520" s="257"/>
      <c r="K520" s="256"/>
    </row>
    <row r="521" spans="1:11" x14ac:dyDescent="0.25">
      <c r="A521" s="256"/>
      <c r="B521" s="256"/>
      <c r="C521" s="257"/>
      <c r="D521" s="257"/>
      <c r="E521" s="257"/>
      <c r="F521" s="257"/>
      <c r="G521" s="257"/>
      <c r="H521" s="257"/>
      <c r="I521" s="257"/>
      <c r="J521" s="257"/>
      <c r="K521" s="256"/>
    </row>
    <row r="522" spans="1:11" x14ac:dyDescent="0.25">
      <c r="A522" s="256"/>
      <c r="B522" s="256"/>
      <c r="C522" s="257"/>
      <c r="D522" s="257"/>
      <c r="E522" s="257"/>
      <c r="F522" s="257"/>
      <c r="G522" s="257"/>
      <c r="H522" s="257"/>
      <c r="I522" s="257"/>
      <c r="J522" s="257"/>
      <c r="K522" s="256"/>
    </row>
    <row r="523" spans="1:11" x14ac:dyDescent="0.25">
      <c r="A523" s="256"/>
      <c r="B523" s="256"/>
      <c r="C523" s="257"/>
      <c r="D523" s="257"/>
      <c r="E523" s="257"/>
      <c r="F523" s="257"/>
      <c r="G523" s="257"/>
      <c r="H523" s="257"/>
      <c r="I523" s="257"/>
      <c r="J523" s="257"/>
      <c r="K523" s="256"/>
    </row>
    <row r="524" spans="1:11" x14ac:dyDescent="0.25">
      <c r="A524" s="256"/>
      <c r="B524" s="256"/>
      <c r="C524" s="257"/>
      <c r="D524" s="257"/>
      <c r="E524" s="257"/>
      <c r="F524" s="257"/>
      <c r="G524" s="257"/>
      <c r="H524" s="257"/>
      <c r="I524" s="257"/>
      <c r="J524" s="257"/>
      <c r="K524" s="256"/>
    </row>
    <row r="525" spans="1:11" x14ac:dyDescent="0.25">
      <c r="A525" s="256"/>
      <c r="B525" s="256"/>
      <c r="C525" s="257"/>
      <c r="D525" s="257"/>
      <c r="E525" s="257"/>
      <c r="F525" s="257"/>
      <c r="G525" s="257"/>
      <c r="H525" s="257"/>
      <c r="I525" s="257"/>
      <c r="J525" s="257"/>
      <c r="K525" s="256"/>
    </row>
    <row r="526" spans="1:11" x14ac:dyDescent="0.25">
      <c r="A526" s="256"/>
      <c r="B526" s="256"/>
      <c r="C526" s="257"/>
      <c r="D526" s="257"/>
      <c r="E526" s="257"/>
      <c r="F526" s="257"/>
      <c r="G526" s="257"/>
      <c r="H526" s="257"/>
      <c r="I526" s="257"/>
      <c r="J526" s="257"/>
      <c r="K526" s="256"/>
    </row>
    <row r="527" spans="1:11" x14ac:dyDescent="0.25">
      <c r="A527" s="256"/>
      <c r="B527" s="256"/>
      <c r="C527" s="257"/>
      <c r="D527" s="257"/>
      <c r="E527" s="257"/>
      <c r="F527" s="257"/>
      <c r="G527" s="257"/>
      <c r="H527" s="257"/>
      <c r="I527" s="257"/>
      <c r="J527" s="257"/>
      <c r="K527" s="256"/>
    </row>
    <row r="528" spans="1:11" x14ac:dyDescent="0.25">
      <c r="A528" s="256"/>
      <c r="B528" s="256"/>
      <c r="C528" s="257"/>
      <c r="D528" s="257"/>
      <c r="E528" s="257"/>
      <c r="F528" s="257"/>
      <c r="G528" s="257"/>
      <c r="H528" s="257"/>
      <c r="I528" s="257"/>
      <c r="J528" s="257"/>
      <c r="K528" s="256"/>
    </row>
    <row r="529" spans="1:11" x14ac:dyDescent="0.25">
      <c r="A529" s="256"/>
      <c r="B529" s="256"/>
      <c r="C529" s="257"/>
      <c r="D529" s="257"/>
      <c r="E529" s="257"/>
      <c r="F529" s="257"/>
      <c r="G529" s="257"/>
      <c r="H529" s="257"/>
      <c r="I529" s="257"/>
      <c r="J529" s="257"/>
      <c r="K529" s="256"/>
    </row>
    <row r="530" spans="1:11" x14ac:dyDescent="0.25">
      <c r="C530" s="260"/>
      <c r="D530" s="260"/>
      <c r="E530" s="260"/>
      <c r="F530" s="260"/>
      <c r="G530" s="260"/>
      <c r="H530" s="260"/>
      <c r="I530" s="260"/>
      <c r="J530" s="260"/>
    </row>
    <row r="531" spans="1:11" x14ac:dyDescent="0.25">
      <c r="C531" s="260"/>
      <c r="D531" s="260"/>
      <c r="E531" s="260"/>
      <c r="F531" s="260"/>
      <c r="G531" s="260"/>
      <c r="H531" s="260"/>
      <c r="I531" s="260"/>
      <c r="J531" s="260"/>
    </row>
    <row r="532" spans="1:11" x14ac:dyDescent="0.25">
      <c r="C532" s="260"/>
      <c r="D532" s="260"/>
      <c r="E532" s="260"/>
      <c r="F532" s="260"/>
      <c r="G532" s="260"/>
      <c r="H532" s="260"/>
      <c r="I532" s="260"/>
      <c r="J532" s="260"/>
    </row>
    <row r="533" spans="1:11" x14ac:dyDescent="0.25">
      <c r="C533" s="260"/>
      <c r="D533" s="260"/>
      <c r="E533" s="260"/>
      <c r="F533" s="260"/>
      <c r="G533" s="260"/>
      <c r="H533" s="260"/>
      <c r="I533" s="260"/>
      <c r="J533" s="260"/>
    </row>
    <row r="534" spans="1:11" x14ac:dyDescent="0.25">
      <c r="C534" s="260"/>
      <c r="D534" s="260"/>
      <c r="E534" s="260"/>
      <c r="F534" s="260"/>
      <c r="G534" s="260"/>
      <c r="H534" s="260"/>
      <c r="I534" s="260"/>
      <c r="J534" s="260"/>
    </row>
    <row r="535" spans="1:11" x14ac:dyDescent="0.25">
      <c r="C535" s="260"/>
      <c r="D535" s="260"/>
      <c r="E535" s="260"/>
      <c r="F535" s="260"/>
      <c r="G535" s="260"/>
      <c r="H535" s="260"/>
      <c r="I535" s="260"/>
      <c r="J535" s="260"/>
    </row>
    <row r="536" spans="1:11" x14ac:dyDescent="0.25">
      <c r="C536" s="260"/>
      <c r="D536" s="260"/>
      <c r="E536" s="260"/>
      <c r="F536" s="260"/>
      <c r="G536" s="260"/>
      <c r="H536" s="260"/>
      <c r="I536" s="260"/>
      <c r="J536" s="260"/>
    </row>
    <row r="537" spans="1:11" x14ac:dyDescent="0.25">
      <c r="C537" s="260"/>
      <c r="D537" s="260"/>
      <c r="E537" s="260"/>
      <c r="F537" s="260"/>
      <c r="G537" s="260"/>
      <c r="H537" s="260"/>
      <c r="I537" s="260"/>
      <c r="J537" s="260"/>
    </row>
    <row r="538" spans="1:11" x14ac:dyDescent="0.25">
      <c r="C538" s="260"/>
      <c r="D538" s="260"/>
      <c r="E538" s="260"/>
      <c r="F538" s="260"/>
      <c r="G538" s="260"/>
      <c r="H538" s="260"/>
      <c r="I538" s="260"/>
      <c r="J538" s="260"/>
    </row>
    <row r="539" spans="1:11" x14ac:dyDescent="0.25">
      <c r="C539" s="260"/>
      <c r="D539" s="260"/>
      <c r="E539" s="260"/>
      <c r="F539" s="260"/>
      <c r="G539" s="260"/>
      <c r="H539" s="260"/>
      <c r="I539" s="260"/>
      <c r="J539" s="260"/>
    </row>
    <row r="540" spans="1:11" x14ac:dyDescent="0.25">
      <c r="C540" s="260"/>
      <c r="D540" s="260"/>
      <c r="E540" s="260"/>
      <c r="F540" s="260"/>
      <c r="G540" s="260"/>
      <c r="H540" s="260"/>
      <c r="I540" s="260"/>
      <c r="J540" s="260"/>
    </row>
    <row r="541" spans="1:11" x14ac:dyDescent="0.25">
      <c r="C541" s="260"/>
      <c r="D541" s="260"/>
      <c r="E541" s="260"/>
      <c r="F541" s="260"/>
      <c r="G541" s="260"/>
      <c r="H541" s="260"/>
      <c r="I541" s="260"/>
      <c r="J541" s="260"/>
    </row>
    <row r="542" spans="1:11" x14ac:dyDescent="0.25">
      <c r="C542" s="260"/>
      <c r="D542" s="260"/>
      <c r="E542" s="260"/>
      <c r="F542" s="260"/>
      <c r="G542" s="260"/>
      <c r="H542" s="260"/>
      <c r="I542" s="260"/>
      <c r="J542" s="260"/>
    </row>
    <row r="543" spans="1:11" x14ac:dyDescent="0.25">
      <c r="C543" s="260"/>
      <c r="D543" s="260"/>
      <c r="E543" s="260"/>
      <c r="F543" s="260"/>
      <c r="G543" s="260"/>
      <c r="H543" s="260"/>
      <c r="I543" s="260"/>
      <c r="J543" s="260"/>
    </row>
    <row r="544" spans="1:11" x14ac:dyDescent="0.25">
      <c r="C544" s="260"/>
      <c r="D544" s="260"/>
      <c r="E544" s="260"/>
      <c r="F544" s="260"/>
      <c r="G544" s="260"/>
      <c r="H544" s="260"/>
      <c r="I544" s="260"/>
      <c r="J544" s="260"/>
    </row>
    <row r="545" spans="3:10" x14ac:dyDescent="0.25">
      <c r="C545" s="260"/>
      <c r="D545" s="260"/>
      <c r="E545" s="260"/>
      <c r="F545" s="260"/>
      <c r="G545" s="260"/>
      <c r="H545" s="260"/>
      <c r="I545" s="260"/>
      <c r="J545" s="260"/>
    </row>
    <row r="546" spans="3:10" x14ac:dyDescent="0.25">
      <c r="C546" s="260"/>
      <c r="D546" s="260"/>
      <c r="E546" s="260"/>
      <c r="F546" s="260"/>
      <c r="G546" s="260"/>
      <c r="H546" s="260"/>
      <c r="I546" s="260"/>
      <c r="J546" s="260"/>
    </row>
    <row r="547" spans="3:10" x14ac:dyDescent="0.25">
      <c r="C547" s="260"/>
      <c r="D547" s="260"/>
      <c r="E547" s="260"/>
      <c r="F547" s="260"/>
      <c r="G547" s="260"/>
      <c r="H547" s="260"/>
      <c r="I547" s="260"/>
      <c r="J547" s="260"/>
    </row>
    <row r="548" spans="3:10" x14ac:dyDescent="0.25">
      <c r="C548" s="260"/>
      <c r="D548" s="260"/>
      <c r="E548" s="260"/>
      <c r="F548" s="260"/>
      <c r="G548" s="260"/>
      <c r="H548" s="260"/>
      <c r="I548" s="260"/>
      <c r="J548" s="260"/>
    </row>
    <row r="549" spans="3:10" x14ac:dyDescent="0.25">
      <c r="C549" s="260"/>
      <c r="D549" s="260"/>
      <c r="E549" s="260"/>
      <c r="F549" s="260"/>
      <c r="G549" s="260"/>
      <c r="H549" s="260"/>
      <c r="I549" s="260"/>
      <c r="J549" s="260"/>
    </row>
    <row r="550" spans="3:10" x14ac:dyDescent="0.25">
      <c r="C550" s="260"/>
      <c r="D550" s="260"/>
      <c r="E550" s="260"/>
      <c r="F550" s="260"/>
      <c r="G550" s="260"/>
      <c r="H550" s="260"/>
      <c r="I550" s="260"/>
      <c r="J550" s="260"/>
    </row>
    <row r="551" spans="3:10" x14ac:dyDescent="0.25">
      <c r="C551" s="260"/>
      <c r="D551" s="260"/>
      <c r="E551" s="260"/>
      <c r="F551" s="260"/>
      <c r="G551" s="260"/>
      <c r="H551" s="260"/>
      <c r="I551" s="260"/>
      <c r="J551" s="260"/>
    </row>
    <row r="552" spans="3:10" x14ac:dyDescent="0.25">
      <c r="C552" s="260"/>
      <c r="D552" s="260"/>
      <c r="E552" s="260"/>
      <c r="F552" s="260"/>
      <c r="G552" s="260"/>
      <c r="H552" s="260"/>
      <c r="I552" s="260"/>
      <c r="J552" s="260"/>
    </row>
    <row r="553" spans="3:10" x14ac:dyDescent="0.25">
      <c r="C553" s="260"/>
      <c r="D553" s="260"/>
      <c r="E553" s="260"/>
      <c r="F553" s="260"/>
      <c r="G553" s="260"/>
      <c r="H553" s="260"/>
      <c r="I553" s="260"/>
      <c r="J553" s="260"/>
    </row>
    <row r="554" spans="3:10" x14ac:dyDescent="0.25">
      <c r="C554" s="260"/>
      <c r="D554" s="260"/>
      <c r="E554" s="260"/>
      <c r="F554" s="260"/>
      <c r="G554" s="260"/>
      <c r="H554" s="260"/>
      <c r="I554" s="260"/>
      <c r="J554" s="260"/>
    </row>
    <row r="555" spans="3:10" x14ac:dyDescent="0.25">
      <c r="C555" s="260"/>
      <c r="D555" s="260"/>
      <c r="E555" s="260"/>
      <c r="F555" s="260"/>
      <c r="G555" s="260"/>
      <c r="H555" s="260"/>
      <c r="I555" s="260"/>
      <c r="J555" s="260"/>
    </row>
    <row r="556" spans="3:10" x14ac:dyDescent="0.25">
      <c r="C556" s="260"/>
      <c r="D556" s="260"/>
      <c r="E556" s="260"/>
      <c r="F556" s="260"/>
      <c r="G556" s="260"/>
      <c r="H556" s="260"/>
      <c r="I556" s="260"/>
      <c r="J556" s="260"/>
    </row>
    <row r="557" spans="3:10" x14ac:dyDescent="0.25">
      <c r="C557" s="260"/>
      <c r="D557" s="260"/>
      <c r="E557" s="260"/>
      <c r="F557" s="260"/>
      <c r="G557" s="260"/>
      <c r="H557" s="260"/>
      <c r="I557" s="260"/>
      <c r="J557" s="260"/>
    </row>
    <row r="558" spans="3:10" x14ac:dyDescent="0.25">
      <c r="C558" s="260"/>
      <c r="D558" s="260"/>
      <c r="E558" s="260"/>
      <c r="F558" s="260"/>
      <c r="G558" s="260"/>
      <c r="H558" s="260"/>
      <c r="I558" s="260"/>
      <c r="J558" s="260"/>
    </row>
    <row r="559" spans="3:10" x14ac:dyDescent="0.25">
      <c r="C559" s="260"/>
      <c r="D559" s="260"/>
      <c r="E559" s="260"/>
      <c r="F559" s="260"/>
      <c r="G559" s="260"/>
      <c r="H559" s="260"/>
      <c r="I559" s="260"/>
      <c r="J559" s="260"/>
    </row>
    <row r="560" spans="3:10" x14ac:dyDescent="0.25">
      <c r="C560" s="260"/>
      <c r="D560" s="260"/>
      <c r="E560" s="260"/>
      <c r="F560" s="260"/>
      <c r="G560" s="260"/>
      <c r="H560" s="260"/>
      <c r="I560" s="260"/>
      <c r="J560" s="260"/>
    </row>
    <row r="561" spans="3:10" x14ac:dyDescent="0.25">
      <c r="C561" s="260"/>
      <c r="D561" s="260"/>
      <c r="E561" s="260"/>
      <c r="F561" s="260"/>
      <c r="G561" s="260"/>
      <c r="H561" s="260"/>
      <c r="I561" s="260"/>
      <c r="J561" s="260"/>
    </row>
    <row r="562" spans="3:10" x14ac:dyDescent="0.25">
      <c r="C562" s="260"/>
      <c r="D562" s="260"/>
      <c r="E562" s="260"/>
      <c r="F562" s="260"/>
      <c r="G562" s="260"/>
      <c r="H562" s="260"/>
      <c r="I562" s="260"/>
      <c r="J562" s="260"/>
    </row>
    <row r="563" spans="3:10" ht="16.5" customHeight="1" x14ac:dyDescent="0.25">
      <c r="C563" s="260"/>
      <c r="D563" s="260"/>
      <c r="E563" s="260"/>
      <c r="F563" s="260"/>
      <c r="G563" s="260"/>
      <c r="H563" s="260"/>
      <c r="I563" s="260"/>
      <c r="J563" s="260"/>
    </row>
    <row r="564" spans="3:10" x14ac:dyDescent="0.25">
      <c r="C564" s="260"/>
      <c r="D564" s="260"/>
      <c r="E564" s="260"/>
      <c r="F564" s="260"/>
      <c r="G564" s="260"/>
      <c r="H564" s="260"/>
      <c r="I564" s="260"/>
      <c r="J564" s="260"/>
    </row>
    <row r="565" spans="3:10" x14ac:dyDescent="0.25">
      <c r="C565" s="260"/>
      <c r="D565" s="260"/>
      <c r="E565" s="260"/>
      <c r="F565" s="260"/>
      <c r="G565" s="260"/>
      <c r="H565" s="260"/>
      <c r="I565" s="260"/>
      <c r="J565" s="260"/>
    </row>
    <row r="566" spans="3:10" x14ac:dyDescent="0.25">
      <c r="C566" s="260"/>
      <c r="D566" s="260"/>
      <c r="E566" s="260"/>
      <c r="F566" s="260"/>
      <c r="G566" s="260"/>
      <c r="H566" s="260"/>
      <c r="I566" s="260"/>
      <c r="J566" s="260"/>
    </row>
    <row r="567" spans="3:10" x14ac:dyDescent="0.25">
      <c r="C567" s="260"/>
      <c r="D567" s="260"/>
      <c r="E567" s="260"/>
      <c r="F567" s="260"/>
      <c r="G567" s="260"/>
      <c r="H567" s="260"/>
      <c r="I567" s="260"/>
      <c r="J567" s="260"/>
    </row>
    <row r="568" spans="3:10" x14ac:dyDescent="0.25">
      <c r="C568" s="260"/>
      <c r="D568" s="260"/>
      <c r="E568" s="260"/>
      <c r="F568" s="260"/>
      <c r="G568" s="260"/>
      <c r="H568" s="260"/>
      <c r="I568" s="260"/>
      <c r="J568" s="260"/>
    </row>
    <row r="569" spans="3:10" x14ac:dyDescent="0.25">
      <c r="C569" s="260"/>
      <c r="D569" s="260"/>
      <c r="E569" s="260"/>
      <c r="F569" s="260"/>
      <c r="G569" s="260"/>
      <c r="H569" s="260"/>
      <c r="I569" s="260"/>
      <c r="J569" s="260"/>
    </row>
    <row r="570" spans="3:10" x14ac:dyDescent="0.25">
      <c r="C570" s="260"/>
      <c r="D570" s="260"/>
      <c r="E570" s="260"/>
      <c r="F570" s="260"/>
      <c r="G570" s="260"/>
      <c r="H570" s="260"/>
      <c r="I570" s="260"/>
      <c r="J570" s="260"/>
    </row>
    <row r="571" spans="3:10" ht="15.75" customHeight="1" x14ac:dyDescent="0.25">
      <c r="C571" s="260"/>
      <c r="D571" s="260"/>
      <c r="E571" s="260"/>
      <c r="F571" s="260"/>
      <c r="G571" s="260"/>
      <c r="H571" s="260"/>
      <c r="I571" s="260"/>
      <c r="J571" s="260"/>
    </row>
    <row r="572" spans="3:10" x14ac:dyDescent="0.25">
      <c r="C572" s="260"/>
      <c r="D572" s="260"/>
      <c r="E572" s="260"/>
      <c r="F572" s="260"/>
      <c r="G572" s="260"/>
      <c r="H572" s="260"/>
      <c r="I572" s="260"/>
      <c r="J572" s="260"/>
    </row>
    <row r="573" spans="3:10" x14ac:dyDescent="0.25">
      <c r="C573" s="260"/>
      <c r="D573" s="260"/>
      <c r="E573" s="260"/>
      <c r="F573" s="260"/>
      <c r="G573" s="260"/>
      <c r="H573" s="260"/>
      <c r="I573" s="260"/>
      <c r="J573" s="260"/>
    </row>
    <row r="574" spans="3:10" x14ac:dyDescent="0.25">
      <c r="C574" s="260"/>
      <c r="D574" s="260"/>
      <c r="E574" s="260"/>
      <c r="F574" s="260"/>
      <c r="G574" s="260"/>
      <c r="H574" s="260"/>
      <c r="I574" s="260"/>
      <c r="J574" s="260"/>
    </row>
    <row r="575" spans="3:10" x14ac:dyDescent="0.25">
      <c r="C575" s="260"/>
      <c r="D575" s="260"/>
      <c r="E575" s="260"/>
      <c r="F575" s="260"/>
      <c r="G575" s="260"/>
      <c r="H575" s="260"/>
      <c r="I575" s="260"/>
      <c r="J575" s="260"/>
    </row>
    <row r="576" spans="3:10" x14ac:dyDescent="0.25">
      <c r="C576" s="260"/>
      <c r="D576" s="260"/>
      <c r="E576" s="260"/>
      <c r="F576" s="260"/>
      <c r="G576" s="260"/>
      <c r="H576" s="260"/>
      <c r="I576" s="260"/>
      <c r="J576" s="260"/>
    </row>
    <row r="577" spans="3:10" x14ac:dyDescent="0.25">
      <c r="C577" s="260"/>
      <c r="D577" s="260"/>
      <c r="E577" s="260"/>
      <c r="F577" s="260"/>
      <c r="G577" s="260"/>
      <c r="H577" s="260"/>
      <c r="I577" s="260"/>
      <c r="J577" s="260"/>
    </row>
    <row r="578" spans="3:10" x14ac:dyDescent="0.25">
      <c r="C578" s="260"/>
      <c r="D578" s="260"/>
      <c r="E578" s="260"/>
      <c r="F578" s="260"/>
      <c r="G578" s="260"/>
      <c r="H578" s="260"/>
      <c r="I578" s="260"/>
      <c r="J578" s="260"/>
    </row>
    <row r="579" spans="3:10" x14ac:dyDescent="0.25">
      <c r="C579" s="260"/>
      <c r="D579" s="260"/>
      <c r="E579" s="260"/>
      <c r="F579" s="260"/>
      <c r="G579" s="260"/>
      <c r="H579" s="260"/>
      <c r="I579" s="260"/>
      <c r="J579" s="260"/>
    </row>
    <row r="580" spans="3:10" x14ac:dyDescent="0.25">
      <c r="C580" s="260"/>
      <c r="D580" s="260"/>
      <c r="E580" s="260"/>
      <c r="F580" s="260"/>
      <c r="G580" s="260"/>
      <c r="H580" s="260"/>
      <c r="I580" s="260"/>
      <c r="J580" s="260"/>
    </row>
    <row r="581" spans="3:10" x14ac:dyDescent="0.25">
      <c r="C581" s="260"/>
      <c r="D581" s="260"/>
      <c r="E581" s="260"/>
      <c r="F581" s="260"/>
      <c r="G581" s="260"/>
      <c r="H581" s="260"/>
      <c r="I581" s="260"/>
      <c r="J581" s="260"/>
    </row>
    <row r="582" spans="3:10" x14ac:dyDescent="0.25">
      <c r="C582" s="260"/>
      <c r="D582" s="260"/>
      <c r="E582" s="260"/>
      <c r="F582" s="260"/>
      <c r="G582" s="260"/>
      <c r="H582" s="260"/>
      <c r="I582" s="260"/>
      <c r="J582" s="260"/>
    </row>
    <row r="583" spans="3:10" x14ac:dyDescent="0.25">
      <c r="C583" s="260"/>
      <c r="D583" s="260"/>
      <c r="E583" s="260"/>
      <c r="F583" s="260"/>
      <c r="G583" s="260"/>
      <c r="H583" s="260"/>
      <c r="I583" s="260"/>
      <c r="J583" s="260"/>
    </row>
    <row r="584" spans="3:10" x14ac:dyDescent="0.25">
      <c r="C584" s="260"/>
      <c r="D584" s="260"/>
      <c r="E584" s="260"/>
      <c r="F584" s="260"/>
      <c r="G584" s="260"/>
      <c r="H584" s="260"/>
      <c r="I584" s="260"/>
      <c r="J584" s="260"/>
    </row>
    <row r="585" spans="3:10" x14ac:dyDescent="0.25">
      <c r="C585" s="260"/>
      <c r="D585" s="260"/>
      <c r="E585" s="260"/>
      <c r="F585" s="260"/>
      <c r="G585" s="260"/>
      <c r="H585" s="260"/>
      <c r="I585" s="260"/>
      <c r="J585" s="260"/>
    </row>
    <row r="586" spans="3:10" x14ac:dyDescent="0.25">
      <c r="C586" s="260"/>
      <c r="D586" s="260"/>
      <c r="E586" s="260"/>
      <c r="F586" s="260"/>
      <c r="G586" s="260"/>
      <c r="H586" s="260"/>
      <c r="I586" s="260"/>
      <c r="J586" s="260"/>
    </row>
    <row r="587" spans="3:10" x14ac:dyDescent="0.25">
      <c r="C587" s="260"/>
      <c r="D587" s="260"/>
      <c r="E587" s="260"/>
      <c r="F587" s="260"/>
      <c r="G587" s="260"/>
      <c r="H587" s="260"/>
      <c r="I587" s="260"/>
      <c r="J587" s="260"/>
    </row>
    <row r="588" spans="3:10" x14ac:dyDescent="0.25">
      <c r="C588" s="260"/>
      <c r="D588" s="260"/>
      <c r="E588" s="260"/>
      <c r="F588" s="260"/>
      <c r="G588" s="260"/>
      <c r="H588" s="260"/>
      <c r="I588" s="260"/>
      <c r="J588" s="260"/>
    </row>
    <row r="589" spans="3:10" x14ac:dyDescent="0.25">
      <c r="C589" s="260"/>
      <c r="D589" s="260"/>
      <c r="E589" s="260"/>
      <c r="F589" s="260"/>
      <c r="G589" s="260"/>
      <c r="H589" s="260"/>
      <c r="I589" s="260"/>
      <c r="J589" s="260"/>
    </row>
    <row r="590" spans="3:10" x14ac:dyDescent="0.25">
      <c r="C590" s="260"/>
      <c r="D590" s="260"/>
      <c r="E590" s="260"/>
      <c r="F590" s="260"/>
      <c r="G590" s="260"/>
      <c r="H590" s="260"/>
      <c r="I590" s="260"/>
      <c r="J590" s="260"/>
    </row>
    <row r="591" spans="3:10" ht="16.5" customHeight="1" x14ac:dyDescent="0.25">
      <c r="C591" s="260"/>
      <c r="D591" s="260"/>
      <c r="E591" s="260"/>
      <c r="F591" s="260"/>
      <c r="G591" s="260"/>
      <c r="H591" s="260"/>
      <c r="I591" s="260"/>
      <c r="J591" s="260"/>
    </row>
    <row r="592" spans="3:10" x14ac:dyDescent="0.25">
      <c r="C592" s="260"/>
      <c r="D592" s="260"/>
      <c r="E592" s="260"/>
      <c r="F592" s="260"/>
      <c r="G592" s="260"/>
      <c r="H592" s="260"/>
      <c r="I592" s="260"/>
      <c r="J592" s="260"/>
    </row>
    <row r="593" spans="3:10" x14ac:dyDescent="0.25">
      <c r="C593" s="260"/>
      <c r="D593" s="260"/>
      <c r="E593" s="260"/>
      <c r="F593" s="260"/>
      <c r="G593" s="260"/>
      <c r="H593" s="260"/>
      <c r="I593" s="260"/>
      <c r="J593" s="260"/>
    </row>
    <row r="594" spans="3:10" x14ac:dyDescent="0.25">
      <c r="C594" s="260"/>
      <c r="D594" s="260"/>
      <c r="E594" s="260"/>
      <c r="F594" s="260"/>
      <c r="G594" s="260"/>
      <c r="H594" s="260"/>
      <c r="I594" s="260"/>
      <c r="J594" s="260"/>
    </row>
    <row r="595" spans="3:10" x14ac:dyDescent="0.25">
      <c r="C595" s="260"/>
      <c r="D595" s="260"/>
      <c r="E595" s="260"/>
      <c r="F595" s="260"/>
      <c r="G595" s="260"/>
      <c r="H595" s="260"/>
      <c r="I595" s="260"/>
      <c r="J595" s="260"/>
    </row>
    <row r="596" spans="3:10" x14ac:dyDescent="0.25">
      <c r="C596" s="260"/>
      <c r="D596" s="260"/>
      <c r="E596" s="260"/>
      <c r="F596" s="260"/>
      <c r="G596" s="260"/>
      <c r="H596" s="260"/>
      <c r="I596" s="260"/>
      <c r="J596" s="260"/>
    </row>
    <row r="597" spans="3:10" ht="38.25" customHeight="1" x14ac:dyDescent="0.25">
      <c r="C597" s="260"/>
      <c r="D597" s="260"/>
      <c r="E597" s="260"/>
      <c r="F597" s="260"/>
      <c r="G597" s="260"/>
      <c r="H597" s="260"/>
      <c r="I597" s="260"/>
      <c r="J597" s="260"/>
    </row>
    <row r="598" spans="3:10" x14ac:dyDescent="0.25">
      <c r="C598" s="260"/>
      <c r="D598" s="260"/>
      <c r="E598" s="260"/>
      <c r="F598" s="260"/>
      <c r="G598" s="260"/>
      <c r="H598" s="260"/>
      <c r="I598" s="260"/>
      <c r="J598" s="260"/>
    </row>
    <row r="599" spans="3:10" ht="38.25" customHeight="1" x14ac:dyDescent="0.25">
      <c r="C599" s="260"/>
      <c r="D599" s="260"/>
      <c r="E599" s="260"/>
      <c r="F599" s="260"/>
      <c r="G599" s="260"/>
      <c r="H599" s="260"/>
      <c r="I599" s="260"/>
      <c r="J599" s="260"/>
    </row>
    <row r="600" spans="3:10" x14ac:dyDescent="0.25">
      <c r="C600" s="260"/>
      <c r="D600" s="260"/>
      <c r="E600" s="260"/>
      <c r="F600" s="260"/>
      <c r="G600" s="260"/>
      <c r="H600" s="260"/>
      <c r="I600" s="260"/>
      <c r="J600" s="260"/>
    </row>
    <row r="601" spans="3:10" ht="38.25" customHeight="1" x14ac:dyDescent="0.25">
      <c r="C601" s="260"/>
      <c r="D601" s="260"/>
      <c r="E601" s="260"/>
      <c r="F601" s="260"/>
      <c r="G601" s="260"/>
      <c r="H601" s="260"/>
      <c r="I601" s="260"/>
      <c r="J601" s="260"/>
    </row>
    <row r="602" spans="3:10" x14ac:dyDescent="0.25">
      <c r="C602" s="260"/>
      <c r="D602" s="260"/>
      <c r="E602" s="260"/>
      <c r="F602" s="260"/>
      <c r="G602" s="260"/>
      <c r="H602" s="260"/>
      <c r="I602" s="260"/>
      <c r="J602" s="260"/>
    </row>
    <row r="603" spans="3:10" ht="38.25" customHeight="1" x14ac:dyDescent="0.25">
      <c r="C603" s="260"/>
      <c r="D603" s="260"/>
      <c r="E603" s="260"/>
      <c r="F603" s="260"/>
      <c r="G603" s="260"/>
      <c r="H603" s="260"/>
      <c r="I603" s="260"/>
      <c r="J603" s="260"/>
    </row>
    <row r="604" spans="3:10" x14ac:dyDescent="0.25">
      <c r="C604" s="260"/>
      <c r="D604" s="260"/>
      <c r="E604" s="260"/>
      <c r="F604" s="260"/>
      <c r="G604" s="260"/>
      <c r="H604" s="260"/>
      <c r="I604" s="260"/>
      <c r="J604" s="260"/>
    </row>
    <row r="605" spans="3:10" ht="38.25" customHeight="1" x14ac:dyDescent="0.25">
      <c r="C605" s="260"/>
      <c r="D605" s="260"/>
      <c r="E605" s="260"/>
      <c r="F605" s="260"/>
      <c r="G605" s="260"/>
      <c r="H605" s="260"/>
      <c r="I605" s="260"/>
      <c r="J605" s="260"/>
    </row>
    <row r="606" spans="3:10" x14ac:dyDescent="0.25">
      <c r="C606" s="260"/>
      <c r="D606" s="260"/>
      <c r="E606" s="260"/>
      <c r="F606" s="260"/>
      <c r="G606" s="260"/>
      <c r="H606" s="260"/>
      <c r="I606" s="260"/>
      <c r="J606" s="260"/>
    </row>
    <row r="607" spans="3:10" ht="38.25" customHeight="1" x14ac:dyDescent="0.25">
      <c r="C607" s="260"/>
      <c r="D607" s="260"/>
      <c r="E607" s="260"/>
      <c r="F607" s="260"/>
      <c r="G607" s="260"/>
      <c r="H607" s="260"/>
      <c r="I607" s="260"/>
      <c r="J607" s="260"/>
    </row>
    <row r="608" spans="3:10" x14ac:dyDescent="0.25">
      <c r="C608" s="260"/>
      <c r="D608" s="260"/>
      <c r="E608" s="260"/>
      <c r="F608" s="260"/>
      <c r="G608" s="260"/>
      <c r="H608" s="260"/>
      <c r="I608" s="260"/>
      <c r="J608" s="260"/>
    </row>
    <row r="609" spans="3:10" ht="38.25" customHeight="1" x14ac:dyDescent="0.25">
      <c r="C609" s="260"/>
      <c r="D609" s="260"/>
      <c r="E609" s="260"/>
      <c r="F609" s="260"/>
      <c r="G609" s="260"/>
      <c r="H609" s="260"/>
      <c r="I609" s="260"/>
      <c r="J609" s="260"/>
    </row>
    <row r="610" spans="3:10" x14ac:dyDescent="0.25">
      <c r="C610" s="260"/>
      <c r="D610" s="260"/>
      <c r="E610" s="260"/>
      <c r="F610" s="260"/>
      <c r="G610" s="260"/>
      <c r="H610" s="260"/>
      <c r="I610" s="260"/>
      <c r="J610" s="260"/>
    </row>
    <row r="611" spans="3:10" x14ac:dyDescent="0.25">
      <c r="C611" s="260"/>
      <c r="D611" s="260"/>
      <c r="E611" s="260"/>
      <c r="F611" s="260"/>
      <c r="G611" s="260"/>
      <c r="H611" s="260"/>
      <c r="I611" s="260"/>
      <c r="J611" s="260"/>
    </row>
    <row r="612" spans="3:10" x14ac:dyDescent="0.25">
      <c r="C612" s="260"/>
      <c r="D612" s="260"/>
      <c r="E612" s="260"/>
      <c r="F612" s="260"/>
      <c r="G612" s="260"/>
      <c r="H612" s="260"/>
      <c r="I612" s="260"/>
      <c r="J612" s="260"/>
    </row>
    <row r="613" spans="3:10" x14ac:dyDescent="0.25">
      <c r="C613" s="260"/>
      <c r="D613" s="260"/>
      <c r="E613" s="260"/>
      <c r="F613" s="260"/>
      <c r="G613" s="260"/>
      <c r="H613" s="260"/>
      <c r="I613" s="260"/>
      <c r="J613" s="260"/>
    </row>
    <row r="614" spans="3:10" x14ac:dyDescent="0.25">
      <c r="C614" s="260"/>
      <c r="D614" s="260"/>
      <c r="E614" s="260"/>
      <c r="F614" s="260"/>
      <c r="G614" s="260"/>
      <c r="H614" s="260"/>
      <c r="I614" s="260"/>
      <c r="J614" s="260"/>
    </row>
    <row r="615" spans="3:10" x14ac:dyDescent="0.25">
      <c r="C615" s="260"/>
      <c r="D615" s="260"/>
      <c r="E615" s="260"/>
      <c r="F615" s="260"/>
      <c r="G615" s="260"/>
      <c r="H615" s="260"/>
      <c r="I615" s="260"/>
      <c r="J615" s="260"/>
    </row>
    <row r="616" spans="3:10" x14ac:dyDescent="0.25">
      <c r="C616" s="260"/>
      <c r="D616" s="260"/>
      <c r="E616" s="260"/>
      <c r="F616" s="260"/>
      <c r="G616" s="260"/>
      <c r="H616" s="260"/>
      <c r="I616" s="260"/>
      <c r="J616" s="260"/>
    </row>
    <row r="617" spans="3:10" x14ac:dyDescent="0.25">
      <c r="C617" s="260"/>
      <c r="D617" s="260"/>
      <c r="E617" s="260"/>
      <c r="F617" s="260"/>
      <c r="G617" s="260"/>
      <c r="H617" s="260"/>
      <c r="I617" s="260"/>
      <c r="J617" s="260"/>
    </row>
    <row r="618" spans="3:10" ht="15.75" customHeight="1" x14ac:dyDescent="0.25">
      <c r="C618" s="260"/>
      <c r="D618" s="260"/>
      <c r="E618" s="260"/>
      <c r="F618" s="260"/>
      <c r="G618" s="260"/>
      <c r="H618" s="260"/>
      <c r="I618" s="260"/>
      <c r="J618" s="260"/>
    </row>
    <row r="619" spans="3:10" x14ac:dyDescent="0.25">
      <c r="C619" s="260"/>
      <c r="D619" s="260"/>
      <c r="E619" s="260"/>
      <c r="F619" s="260"/>
      <c r="G619" s="260"/>
      <c r="H619" s="260"/>
      <c r="I619" s="260"/>
      <c r="J619" s="260"/>
    </row>
    <row r="620" spans="3:10" x14ac:dyDescent="0.25">
      <c r="C620" s="260"/>
      <c r="D620" s="260"/>
      <c r="E620" s="260"/>
      <c r="F620" s="260"/>
      <c r="G620" s="260"/>
      <c r="H620" s="260"/>
      <c r="I620" s="260"/>
      <c r="J620" s="260"/>
    </row>
    <row r="621" spans="3:10" x14ac:dyDescent="0.25">
      <c r="C621" s="260"/>
      <c r="D621" s="260"/>
      <c r="E621" s="260"/>
      <c r="F621" s="260"/>
      <c r="G621" s="260"/>
      <c r="H621" s="260"/>
      <c r="I621" s="260"/>
      <c r="J621" s="260"/>
    </row>
    <row r="622" spans="3:10" x14ac:dyDescent="0.25">
      <c r="C622" s="260"/>
      <c r="D622" s="260"/>
      <c r="E622" s="260"/>
      <c r="F622" s="260"/>
      <c r="G622" s="260"/>
      <c r="H622" s="260"/>
      <c r="I622" s="260"/>
      <c r="J622" s="260"/>
    </row>
    <row r="623" spans="3:10" x14ac:dyDescent="0.25">
      <c r="C623" s="260"/>
      <c r="D623" s="260"/>
      <c r="E623" s="260"/>
      <c r="F623" s="260"/>
      <c r="G623" s="260"/>
      <c r="H623" s="260"/>
      <c r="I623" s="260"/>
      <c r="J623" s="260"/>
    </row>
    <row r="624" spans="3:10" x14ac:dyDescent="0.25">
      <c r="C624" s="260"/>
      <c r="D624" s="260"/>
      <c r="E624" s="260"/>
      <c r="F624" s="260"/>
      <c r="G624" s="260"/>
      <c r="H624" s="260"/>
      <c r="I624" s="260"/>
      <c r="J624" s="260"/>
    </row>
    <row r="625" spans="3:10" x14ac:dyDescent="0.25">
      <c r="C625" s="260"/>
      <c r="D625" s="260"/>
      <c r="E625" s="260"/>
      <c r="F625" s="260"/>
      <c r="G625" s="260"/>
      <c r="H625" s="260"/>
      <c r="I625" s="260"/>
      <c r="J625" s="260"/>
    </row>
    <row r="626" spans="3:10" x14ac:dyDescent="0.25">
      <c r="C626" s="260"/>
      <c r="D626" s="260"/>
      <c r="E626" s="260"/>
      <c r="F626" s="260"/>
      <c r="G626" s="260"/>
      <c r="H626" s="260"/>
      <c r="I626" s="260"/>
      <c r="J626" s="260"/>
    </row>
    <row r="627" spans="3:10" x14ac:dyDescent="0.25">
      <c r="C627" s="260"/>
      <c r="D627" s="260"/>
      <c r="E627" s="260"/>
      <c r="F627" s="260"/>
      <c r="G627" s="260"/>
      <c r="H627" s="260"/>
      <c r="I627" s="260"/>
      <c r="J627" s="260"/>
    </row>
    <row r="628" spans="3:10" x14ac:dyDescent="0.25">
      <c r="C628" s="260"/>
      <c r="D628" s="260"/>
      <c r="E628" s="260"/>
      <c r="F628" s="260"/>
      <c r="G628" s="260"/>
      <c r="H628" s="260"/>
      <c r="I628" s="260"/>
      <c r="J628" s="260"/>
    </row>
    <row r="629" spans="3:10" x14ac:dyDescent="0.25">
      <c r="C629" s="260"/>
      <c r="D629" s="260"/>
      <c r="E629" s="260"/>
      <c r="F629" s="260"/>
      <c r="G629" s="260"/>
      <c r="H629" s="260"/>
      <c r="I629" s="260"/>
      <c r="J629" s="260"/>
    </row>
    <row r="630" spans="3:10" x14ac:dyDescent="0.25">
      <c r="C630" s="260"/>
      <c r="D630" s="260"/>
      <c r="E630" s="260"/>
      <c r="F630" s="260"/>
      <c r="G630" s="260"/>
      <c r="H630" s="260"/>
      <c r="I630" s="260"/>
      <c r="J630" s="260"/>
    </row>
    <row r="631" spans="3:10" x14ac:dyDescent="0.25">
      <c r="C631" s="260"/>
      <c r="D631" s="260"/>
      <c r="E631" s="260"/>
      <c r="F631" s="260"/>
      <c r="G631" s="260"/>
      <c r="H631" s="260"/>
      <c r="I631" s="260"/>
      <c r="J631" s="260"/>
    </row>
    <row r="632" spans="3:10" x14ac:dyDescent="0.25">
      <c r="C632" s="260"/>
      <c r="D632" s="260"/>
      <c r="E632" s="260"/>
      <c r="F632" s="260"/>
      <c r="G632" s="260"/>
      <c r="H632" s="260"/>
      <c r="I632" s="260"/>
      <c r="J632" s="260"/>
    </row>
    <row r="633" spans="3:10" x14ac:dyDescent="0.25">
      <c r="C633" s="260"/>
      <c r="D633" s="260"/>
      <c r="E633" s="260"/>
      <c r="F633" s="260"/>
      <c r="G633" s="260"/>
      <c r="H633" s="260"/>
      <c r="I633" s="260"/>
      <c r="J633" s="260"/>
    </row>
    <row r="634" spans="3:10" x14ac:dyDescent="0.25">
      <c r="C634" s="260"/>
      <c r="D634" s="260"/>
      <c r="E634" s="260"/>
      <c r="F634" s="260"/>
      <c r="G634" s="260"/>
      <c r="H634" s="260"/>
      <c r="I634" s="260"/>
      <c r="J634" s="260"/>
    </row>
    <row r="635" spans="3:10" x14ac:dyDescent="0.25">
      <c r="C635" s="260"/>
      <c r="D635" s="260"/>
      <c r="E635" s="260"/>
      <c r="F635" s="260"/>
      <c r="G635" s="260"/>
      <c r="H635" s="260"/>
      <c r="I635" s="260"/>
      <c r="J635" s="260"/>
    </row>
    <row r="636" spans="3:10" x14ac:dyDescent="0.25">
      <c r="C636" s="260"/>
      <c r="D636" s="260"/>
      <c r="E636" s="260"/>
      <c r="F636" s="260"/>
      <c r="G636" s="260"/>
      <c r="H636" s="260"/>
      <c r="I636" s="260"/>
      <c r="J636" s="260"/>
    </row>
    <row r="637" spans="3:10" ht="16.5" customHeight="1" x14ac:dyDescent="0.25">
      <c r="C637" s="260"/>
      <c r="D637" s="260"/>
      <c r="E637" s="260"/>
      <c r="F637" s="260"/>
      <c r="G637" s="260"/>
      <c r="H637" s="260"/>
      <c r="I637" s="260"/>
      <c r="J637" s="260"/>
    </row>
    <row r="638" spans="3:10" x14ac:dyDescent="0.25">
      <c r="C638" s="260"/>
      <c r="D638" s="260"/>
      <c r="E638" s="260"/>
      <c r="F638" s="260"/>
      <c r="G638" s="260"/>
      <c r="H638" s="260"/>
      <c r="I638" s="260"/>
      <c r="J638" s="260"/>
    </row>
    <row r="639" spans="3:10" x14ac:dyDescent="0.25">
      <c r="C639" s="260"/>
      <c r="D639" s="260"/>
      <c r="E639" s="260"/>
      <c r="F639" s="260"/>
      <c r="G639" s="260"/>
      <c r="H639" s="260"/>
      <c r="I639" s="260"/>
      <c r="J639" s="260"/>
    </row>
    <row r="640" spans="3:10" x14ac:dyDescent="0.25">
      <c r="C640" s="260"/>
      <c r="D640" s="260"/>
      <c r="E640" s="260"/>
      <c r="F640" s="260"/>
      <c r="G640" s="260"/>
      <c r="H640" s="260"/>
      <c r="I640" s="260"/>
      <c r="J640" s="260"/>
    </row>
    <row r="641" spans="3:10" x14ac:dyDescent="0.25">
      <c r="C641" s="260"/>
      <c r="D641" s="260"/>
      <c r="E641" s="260"/>
      <c r="F641" s="260"/>
      <c r="G641" s="260"/>
      <c r="H641" s="260"/>
      <c r="I641" s="260"/>
      <c r="J641" s="260"/>
    </row>
    <row r="642" spans="3:10" x14ac:dyDescent="0.25">
      <c r="C642" s="260"/>
      <c r="D642" s="260"/>
      <c r="E642" s="260"/>
      <c r="F642" s="260"/>
      <c r="G642" s="260"/>
      <c r="H642" s="260"/>
      <c r="I642" s="260"/>
      <c r="J642" s="260"/>
    </row>
    <row r="643" spans="3:10" x14ac:dyDescent="0.25">
      <c r="C643" s="260"/>
      <c r="D643" s="260"/>
      <c r="E643" s="260"/>
      <c r="F643" s="260"/>
      <c r="G643" s="260"/>
      <c r="H643" s="260"/>
      <c r="I643" s="260"/>
      <c r="J643" s="260"/>
    </row>
    <row r="644" spans="3:10" x14ac:dyDescent="0.25">
      <c r="C644" s="260"/>
      <c r="D644" s="260"/>
      <c r="E644" s="260"/>
      <c r="F644" s="260"/>
      <c r="G644" s="260"/>
      <c r="H644" s="260"/>
      <c r="I644" s="260"/>
      <c r="J644" s="260"/>
    </row>
    <row r="645" spans="3:10" x14ac:dyDescent="0.25">
      <c r="C645" s="260"/>
      <c r="D645" s="260"/>
      <c r="E645" s="260"/>
      <c r="F645" s="260"/>
      <c r="G645" s="260"/>
      <c r="H645" s="260"/>
      <c r="I645" s="260"/>
      <c r="J645" s="260"/>
    </row>
    <row r="646" spans="3:10" x14ac:dyDescent="0.25">
      <c r="C646" s="260"/>
      <c r="D646" s="260"/>
      <c r="E646" s="260"/>
      <c r="F646" s="260"/>
      <c r="G646" s="260"/>
      <c r="H646" s="260"/>
      <c r="I646" s="260"/>
      <c r="J646" s="260"/>
    </row>
    <row r="647" spans="3:10" x14ac:dyDescent="0.25">
      <c r="C647" s="260"/>
      <c r="D647" s="260"/>
      <c r="E647" s="260"/>
      <c r="F647" s="260"/>
      <c r="G647" s="260"/>
      <c r="H647" s="260"/>
      <c r="I647" s="260"/>
      <c r="J647" s="260"/>
    </row>
    <row r="648" spans="3:10" x14ac:dyDescent="0.25">
      <c r="C648" s="260"/>
      <c r="D648" s="260"/>
      <c r="E648" s="260"/>
      <c r="F648" s="260"/>
      <c r="G648" s="260"/>
      <c r="H648" s="260"/>
      <c r="I648" s="260"/>
      <c r="J648" s="260"/>
    </row>
    <row r="649" spans="3:10" x14ac:dyDescent="0.25">
      <c r="C649" s="260"/>
      <c r="D649" s="260"/>
      <c r="E649" s="260"/>
      <c r="F649" s="260"/>
      <c r="G649" s="260"/>
      <c r="H649" s="260"/>
      <c r="I649" s="260"/>
      <c r="J649" s="260"/>
    </row>
    <row r="650" spans="3:10" x14ac:dyDescent="0.25">
      <c r="C650" s="260"/>
      <c r="D650" s="260"/>
      <c r="E650" s="260"/>
      <c r="F650" s="260"/>
      <c r="G650" s="260"/>
      <c r="H650" s="260"/>
      <c r="I650" s="260"/>
      <c r="J650" s="260"/>
    </row>
    <row r="651" spans="3:10" x14ac:dyDescent="0.25">
      <c r="C651" s="260"/>
      <c r="D651" s="260"/>
      <c r="E651" s="260"/>
      <c r="F651" s="260"/>
      <c r="G651" s="260"/>
      <c r="H651" s="260"/>
      <c r="I651" s="260"/>
      <c r="J651" s="260"/>
    </row>
    <row r="652" spans="3:10" x14ac:dyDescent="0.25">
      <c r="C652" s="260"/>
      <c r="D652" s="260"/>
      <c r="E652" s="260"/>
      <c r="F652" s="260"/>
      <c r="G652" s="260"/>
      <c r="H652" s="260"/>
      <c r="I652" s="260"/>
      <c r="J652" s="260"/>
    </row>
    <row r="653" spans="3:10" x14ac:dyDescent="0.25">
      <c r="C653" s="260"/>
      <c r="D653" s="260"/>
      <c r="E653" s="260"/>
      <c r="F653" s="260"/>
      <c r="G653" s="260"/>
      <c r="H653" s="260"/>
      <c r="I653" s="260"/>
      <c r="J653" s="260"/>
    </row>
    <row r="654" spans="3:10" x14ac:dyDescent="0.25">
      <c r="C654" s="260"/>
      <c r="D654" s="260"/>
      <c r="E654" s="260"/>
      <c r="F654" s="260"/>
      <c r="G654" s="260"/>
      <c r="H654" s="260"/>
      <c r="I654" s="260"/>
      <c r="J654" s="260"/>
    </row>
    <row r="655" spans="3:10" ht="15.75" customHeight="1" x14ac:dyDescent="0.25">
      <c r="C655" s="260"/>
      <c r="D655" s="260"/>
      <c r="E655" s="260"/>
      <c r="F655" s="260"/>
      <c r="G655" s="260"/>
      <c r="H655" s="260"/>
      <c r="I655" s="260"/>
      <c r="J655" s="260"/>
    </row>
    <row r="656" spans="3:10" x14ac:dyDescent="0.25">
      <c r="C656" s="260"/>
      <c r="D656" s="260"/>
      <c r="E656" s="260"/>
      <c r="F656" s="260"/>
      <c r="G656" s="260"/>
      <c r="H656" s="260"/>
      <c r="I656" s="260"/>
      <c r="J656" s="260"/>
    </row>
    <row r="657" spans="3:10" x14ac:dyDescent="0.25">
      <c r="C657" s="260"/>
      <c r="D657" s="260"/>
      <c r="E657" s="260"/>
      <c r="F657" s="260"/>
      <c r="G657" s="260"/>
      <c r="H657" s="260"/>
      <c r="I657" s="260"/>
      <c r="J657" s="260"/>
    </row>
    <row r="658" spans="3:10" x14ac:dyDescent="0.25">
      <c r="C658" s="260"/>
      <c r="D658" s="260"/>
      <c r="E658" s="260"/>
      <c r="F658" s="260"/>
      <c r="G658" s="260"/>
      <c r="H658" s="260"/>
      <c r="I658" s="260"/>
      <c r="J658" s="260"/>
    </row>
    <row r="659" spans="3:10" x14ac:dyDescent="0.25">
      <c r="C659" s="260"/>
      <c r="D659" s="260"/>
      <c r="E659" s="260"/>
      <c r="F659" s="260"/>
      <c r="G659" s="260"/>
      <c r="H659" s="260"/>
      <c r="I659" s="260"/>
      <c r="J659" s="260"/>
    </row>
    <row r="660" spans="3:10" x14ac:dyDescent="0.25">
      <c r="C660" s="260"/>
      <c r="D660" s="260"/>
      <c r="E660" s="260"/>
      <c r="F660" s="260"/>
      <c r="G660" s="260"/>
      <c r="H660" s="260"/>
      <c r="I660" s="260"/>
      <c r="J660" s="260"/>
    </row>
    <row r="661" spans="3:10" x14ac:dyDescent="0.25">
      <c r="C661" s="260"/>
      <c r="D661" s="260"/>
      <c r="E661" s="260"/>
      <c r="F661" s="260"/>
      <c r="G661" s="260"/>
      <c r="H661" s="260"/>
      <c r="I661" s="260"/>
      <c r="J661" s="260"/>
    </row>
    <row r="662" spans="3:10" x14ac:dyDescent="0.25">
      <c r="C662" s="260"/>
      <c r="D662" s="260"/>
      <c r="E662" s="260"/>
      <c r="F662" s="260"/>
      <c r="G662" s="260"/>
      <c r="H662" s="260"/>
      <c r="I662" s="260"/>
      <c r="J662" s="260"/>
    </row>
    <row r="663" spans="3:10" x14ac:dyDescent="0.25">
      <c r="C663" s="260"/>
      <c r="D663" s="260"/>
      <c r="E663" s="260"/>
      <c r="F663" s="260"/>
      <c r="G663" s="260"/>
      <c r="H663" s="260"/>
      <c r="I663" s="260"/>
      <c r="J663" s="260"/>
    </row>
    <row r="664" spans="3:10" x14ac:dyDescent="0.25">
      <c r="C664" s="260"/>
      <c r="D664" s="260"/>
      <c r="E664" s="260"/>
      <c r="F664" s="260"/>
      <c r="G664" s="260"/>
      <c r="H664" s="260"/>
      <c r="I664" s="260"/>
      <c r="J664" s="260"/>
    </row>
    <row r="665" spans="3:10" x14ac:dyDescent="0.25">
      <c r="C665" s="260"/>
      <c r="D665" s="260"/>
      <c r="E665" s="260"/>
      <c r="F665" s="260"/>
      <c r="G665" s="260"/>
      <c r="H665" s="260"/>
      <c r="I665" s="260"/>
      <c r="J665" s="260"/>
    </row>
    <row r="666" spans="3:10" x14ac:dyDescent="0.25">
      <c r="C666" s="260"/>
      <c r="D666" s="260"/>
      <c r="E666" s="260"/>
      <c r="F666" s="260"/>
      <c r="G666" s="260"/>
      <c r="H666" s="260"/>
      <c r="I666" s="260"/>
      <c r="J666" s="260"/>
    </row>
    <row r="667" spans="3:10" x14ac:dyDescent="0.25">
      <c r="C667" s="260"/>
      <c r="D667" s="260"/>
      <c r="E667" s="260"/>
      <c r="F667" s="260"/>
      <c r="G667" s="260"/>
      <c r="H667" s="260"/>
      <c r="I667" s="260"/>
      <c r="J667" s="260"/>
    </row>
    <row r="668" spans="3:10" x14ac:dyDescent="0.25">
      <c r="C668" s="260"/>
      <c r="D668" s="260"/>
      <c r="E668" s="260"/>
      <c r="F668" s="260"/>
      <c r="G668" s="260"/>
      <c r="H668" s="260"/>
      <c r="I668" s="260"/>
      <c r="J668" s="260"/>
    </row>
    <row r="669" spans="3:10" x14ac:dyDescent="0.25">
      <c r="C669" s="260"/>
      <c r="D669" s="260"/>
      <c r="E669" s="260"/>
      <c r="F669" s="260"/>
      <c r="G669" s="260"/>
      <c r="H669" s="260"/>
      <c r="I669" s="260"/>
      <c r="J669" s="260"/>
    </row>
    <row r="670" spans="3:10" x14ac:dyDescent="0.25">
      <c r="C670" s="260"/>
      <c r="D670" s="260"/>
      <c r="E670" s="260"/>
      <c r="F670" s="260"/>
      <c r="G670" s="260"/>
      <c r="H670" s="260"/>
      <c r="I670" s="260"/>
      <c r="J670" s="260"/>
    </row>
    <row r="671" spans="3:10" x14ac:dyDescent="0.25">
      <c r="C671" s="260"/>
      <c r="D671" s="260"/>
      <c r="E671" s="260"/>
      <c r="F671" s="260"/>
      <c r="G671" s="260"/>
      <c r="H671" s="260"/>
      <c r="I671" s="260"/>
      <c r="J671" s="260"/>
    </row>
    <row r="672" spans="3:10" x14ac:dyDescent="0.25">
      <c r="C672" s="260"/>
      <c r="D672" s="260"/>
      <c r="E672" s="260"/>
      <c r="F672" s="260"/>
      <c r="G672" s="260"/>
      <c r="H672" s="260"/>
      <c r="I672" s="260"/>
      <c r="J672" s="260"/>
    </row>
    <row r="673" spans="3:10" x14ac:dyDescent="0.25">
      <c r="C673" s="260"/>
      <c r="D673" s="260"/>
      <c r="E673" s="260"/>
      <c r="F673" s="260"/>
      <c r="G673" s="260"/>
      <c r="H673" s="260"/>
      <c r="I673" s="260"/>
      <c r="J673" s="260"/>
    </row>
    <row r="674" spans="3:10" x14ac:dyDescent="0.25">
      <c r="C674" s="260"/>
      <c r="D674" s="260"/>
      <c r="E674" s="260"/>
      <c r="F674" s="260"/>
      <c r="G674" s="260"/>
      <c r="H674" s="260"/>
      <c r="I674" s="260"/>
      <c r="J674" s="260"/>
    </row>
    <row r="675" spans="3:10" x14ac:dyDescent="0.25">
      <c r="C675" s="260"/>
      <c r="D675" s="260"/>
      <c r="E675" s="260"/>
      <c r="F675" s="260"/>
      <c r="G675" s="260"/>
      <c r="H675" s="260"/>
      <c r="I675" s="260"/>
      <c r="J675" s="260"/>
    </row>
    <row r="676" spans="3:10" x14ac:dyDescent="0.25">
      <c r="C676" s="260"/>
      <c r="D676" s="260"/>
      <c r="E676" s="260"/>
      <c r="F676" s="260"/>
      <c r="G676" s="260"/>
      <c r="H676" s="260"/>
      <c r="I676" s="260"/>
      <c r="J676" s="260"/>
    </row>
    <row r="677" spans="3:10" x14ac:dyDescent="0.25">
      <c r="C677" s="260"/>
      <c r="D677" s="260"/>
      <c r="E677" s="260"/>
      <c r="F677" s="260"/>
      <c r="G677" s="260"/>
      <c r="H677" s="260"/>
      <c r="I677" s="260"/>
      <c r="J677" s="260"/>
    </row>
    <row r="678" spans="3:10" x14ac:dyDescent="0.25">
      <c r="C678" s="260"/>
      <c r="D678" s="260"/>
      <c r="E678" s="260"/>
      <c r="F678" s="260"/>
      <c r="G678" s="260"/>
      <c r="H678" s="260"/>
      <c r="I678" s="260"/>
      <c r="J678" s="260"/>
    </row>
    <row r="679" spans="3:10" x14ac:dyDescent="0.25">
      <c r="C679" s="260"/>
      <c r="D679" s="260"/>
      <c r="E679" s="260"/>
      <c r="F679" s="260"/>
      <c r="G679" s="260"/>
      <c r="H679" s="260"/>
      <c r="I679" s="260"/>
      <c r="J679" s="260"/>
    </row>
    <row r="680" spans="3:10" x14ac:dyDescent="0.25">
      <c r="C680" s="260"/>
      <c r="D680" s="260"/>
      <c r="E680" s="260"/>
      <c r="F680" s="260"/>
      <c r="G680" s="260"/>
      <c r="H680" s="260"/>
      <c r="I680" s="260"/>
      <c r="J680" s="260"/>
    </row>
    <row r="681" spans="3:10" x14ac:dyDescent="0.25">
      <c r="C681" s="260"/>
      <c r="D681" s="260"/>
      <c r="E681" s="260"/>
      <c r="F681" s="260"/>
      <c r="G681" s="260"/>
      <c r="H681" s="260"/>
      <c r="I681" s="260"/>
      <c r="J681" s="260"/>
    </row>
    <row r="682" spans="3:10" x14ac:dyDescent="0.25">
      <c r="C682" s="260"/>
      <c r="D682" s="260"/>
      <c r="E682" s="260"/>
      <c r="F682" s="260"/>
      <c r="G682" s="260"/>
      <c r="H682" s="260"/>
      <c r="I682" s="260"/>
      <c r="J682" s="260"/>
    </row>
    <row r="683" spans="3:10" x14ac:dyDescent="0.25">
      <c r="C683" s="260"/>
      <c r="D683" s="260"/>
      <c r="E683" s="260"/>
      <c r="F683" s="260"/>
      <c r="G683" s="260"/>
      <c r="H683" s="260"/>
      <c r="I683" s="260"/>
      <c r="J683" s="260"/>
    </row>
    <row r="684" spans="3:10" x14ac:dyDescent="0.25">
      <c r="C684" s="260"/>
      <c r="D684" s="260"/>
      <c r="E684" s="260"/>
      <c r="F684" s="260"/>
      <c r="G684" s="260"/>
      <c r="H684" s="260"/>
      <c r="I684" s="260"/>
      <c r="J684" s="260"/>
    </row>
    <row r="685" spans="3:10" x14ac:dyDescent="0.25">
      <c r="C685" s="260"/>
      <c r="D685" s="260"/>
      <c r="E685" s="260"/>
      <c r="F685" s="260"/>
      <c r="G685" s="260"/>
      <c r="H685" s="260"/>
      <c r="I685" s="260"/>
      <c r="J685" s="260"/>
    </row>
    <row r="686" spans="3:10" ht="16.5" customHeight="1" x14ac:dyDescent="0.25">
      <c r="C686" s="260"/>
      <c r="D686" s="260"/>
      <c r="E686" s="260"/>
      <c r="F686" s="260"/>
      <c r="G686" s="260"/>
      <c r="H686" s="260"/>
      <c r="I686" s="260"/>
      <c r="J686" s="260"/>
    </row>
    <row r="687" spans="3:10" x14ac:dyDescent="0.25">
      <c r="C687" s="260"/>
      <c r="D687" s="260"/>
      <c r="E687" s="260"/>
      <c r="F687" s="260"/>
      <c r="G687" s="260"/>
      <c r="H687" s="260"/>
      <c r="I687" s="260"/>
      <c r="J687" s="260"/>
    </row>
    <row r="688" spans="3:10" x14ac:dyDescent="0.25">
      <c r="C688" s="260"/>
      <c r="D688" s="260"/>
      <c r="E688" s="260"/>
      <c r="F688" s="260"/>
      <c r="G688" s="260"/>
      <c r="H688" s="260"/>
      <c r="I688" s="260"/>
      <c r="J688" s="260"/>
    </row>
    <row r="689" spans="3:10" x14ac:dyDescent="0.25">
      <c r="C689" s="260"/>
      <c r="D689" s="260"/>
      <c r="E689" s="260"/>
      <c r="F689" s="260"/>
      <c r="G689" s="260"/>
      <c r="H689" s="260"/>
      <c r="I689" s="260"/>
      <c r="J689" s="260"/>
    </row>
    <row r="690" spans="3:10" x14ac:dyDescent="0.25">
      <c r="C690" s="260"/>
      <c r="D690" s="260"/>
      <c r="E690" s="260"/>
      <c r="F690" s="260"/>
      <c r="G690" s="260"/>
      <c r="H690" s="260"/>
      <c r="I690" s="260"/>
      <c r="J690" s="260"/>
    </row>
    <row r="691" spans="3:10" x14ac:dyDescent="0.25">
      <c r="C691" s="260"/>
      <c r="D691" s="260"/>
      <c r="E691" s="260"/>
      <c r="F691" s="260"/>
      <c r="G691" s="260"/>
      <c r="H691" s="260"/>
      <c r="I691" s="260"/>
      <c r="J691" s="260"/>
    </row>
    <row r="692" spans="3:10" x14ac:dyDescent="0.25">
      <c r="C692" s="260"/>
      <c r="D692" s="260"/>
      <c r="E692" s="260"/>
      <c r="F692" s="260"/>
      <c r="G692" s="260"/>
      <c r="H692" s="260"/>
      <c r="I692" s="260"/>
      <c r="J692" s="260"/>
    </row>
    <row r="693" spans="3:10" x14ac:dyDescent="0.25">
      <c r="C693" s="260"/>
      <c r="D693" s="260"/>
      <c r="E693" s="260"/>
      <c r="F693" s="260"/>
      <c r="G693" s="260"/>
      <c r="H693" s="260"/>
      <c r="I693" s="260"/>
      <c r="J693" s="260"/>
    </row>
    <row r="694" spans="3:10" ht="15.75" customHeight="1" x14ac:dyDescent="0.25">
      <c r="C694" s="260"/>
      <c r="D694" s="260"/>
      <c r="E694" s="260"/>
      <c r="F694" s="260"/>
      <c r="G694" s="260"/>
      <c r="H694" s="260"/>
      <c r="I694" s="260"/>
      <c r="J694" s="260"/>
    </row>
    <row r="695" spans="3:10" x14ac:dyDescent="0.25">
      <c r="C695" s="260"/>
      <c r="D695" s="260"/>
      <c r="E695" s="260"/>
      <c r="F695" s="260"/>
      <c r="G695" s="260"/>
      <c r="H695" s="260"/>
      <c r="I695" s="260"/>
      <c r="J695" s="260"/>
    </row>
    <row r="696" spans="3:10" x14ac:dyDescent="0.25">
      <c r="C696" s="260"/>
      <c r="D696" s="260"/>
      <c r="E696" s="260"/>
      <c r="F696" s="260"/>
      <c r="G696" s="260"/>
      <c r="H696" s="260"/>
      <c r="I696" s="260"/>
      <c r="J696" s="260"/>
    </row>
    <row r="697" spans="3:10" x14ac:dyDescent="0.25">
      <c r="C697" s="260"/>
      <c r="D697" s="260"/>
      <c r="E697" s="260"/>
      <c r="F697" s="260"/>
      <c r="G697" s="260"/>
      <c r="H697" s="260"/>
      <c r="I697" s="260"/>
      <c r="J697" s="260"/>
    </row>
    <row r="698" spans="3:10" x14ac:dyDescent="0.25">
      <c r="C698" s="260"/>
      <c r="D698" s="260"/>
      <c r="E698" s="260"/>
      <c r="F698" s="260"/>
      <c r="G698" s="260"/>
      <c r="H698" s="260"/>
      <c r="I698" s="260"/>
      <c r="J698" s="260"/>
    </row>
    <row r="699" spans="3:10" x14ac:dyDescent="0.25">
      <c r="C699" s="260"/>
      <c r="D699" s="260"/>
      <c r="E699" s="260"/>
      <c r="F699" s="260"/>
      <c r="G699" s="260"/>
      <c r="H699" s="260"/>
      <c r="I699" s="260"/>
      <c r="J699" s="260"/>
    </row>
    <row r="700" spans="3:10" x14ac:dyDescent="0.25">
      <c r="C700" s="260"/>
      <c r="D700" s="260"/>
      <c r="E700" s="260"/>
      <c r="F700" s="260"/>
      <c r="G700" s="260"/>
      <c r="H700" s="260"/>
      <c r="I700" s="260"/>
      <c r="J700" s="260"/>
    </row>
    <row r="701" spans="3:10" x14ac:dyDescent="0.25">
      <c r="C701" s="260"/>
      <c r="D701" s="260"/>
      <c r="E701" s="260"/>
      <c r="F701" s="260"/>
      <c r="G701" s="260"/>
      <c r="H701" s="260"/>
      <c r="I701" s="260"/>
      <c r="J701" s="260"/>
    </row>
    <row r="702" spans="3:10" x14ac:dyDescent="0.25">
      <c r="C702" s="260"/>
      <c r="D702" s="260"/>
      <c r="E702" s="260"/>
      <c r="F702" s="260"/>
      <c r="G702" s="260"/>
      <c r="H702" s="260"/>
      <c r="I702" s="260"/>
      <c r="J702" s="260"/>
    </row>
    <row r="703" spans="3:10" x14ac:dyDescent="0.25">
      <c r="C703" s="260"/>
      <c r="D703" s="260"/>
      <c r="E703" s="260"/>
      <c r="F703" s="260"/>
      <c r="G703" s="260"/>
      <c r="H703" s="260"/>
      <c r="I703" s="260"/>
      <c r="J703" s="260"/>
    </row>
    <row r="704" spans="3:10" x14ac:dyDescent="0.25">
      <c r="C704" s="260"/>
      <c r="D704" s="260"/>
      <c r="E704" s="260"/>
      <c r="F704" s="260"/>
      <c r="G704" s="260"/>
      <c r="H704" s="260"/>
      <c r="I704" s="260"/>
      <c r="J704" s="260"/>
    </row>
    <row r="705" spans="3:10" x14ac:dyDescent="0.25">
      <c r="C705" s="260"/>
      <c r="D705" s="260"/>
      <c r="E705" s="260"/>
      <c r="F705" s="260"/>
      <c r="G705" s="260"/>
      <c r="H705" s="260"/>
      <c r="I705" s="260"/>
      <c r="J705" s="260"/>
    </row>
    <row r="706" spans="3:10" x14ac:dyDescent="0.25">
      <c r="C706" s="260"/>
      <c r="D706" s="260"/>
      <c r="E706" s="260"/>
      <c r="F706" s="260"/>
      <c r="G706" s="260"/>
      <c r="H706" s="260"/>
      <c r="I706" s="260"/>
      <c r="J706" s="260"/>
    </row>
    <row r="707" spans="3:10" x14ac:dyDescent="0.25">
      <c r="C707" s="260"/>
      <c r="D707" s="260"/>
      <c r="E707" s="260"/>
      <c r="F707" s="260"/>
      <c r="G707" s="260"/>
      <c r="H707" s="260"/>
      <c r="I707" s="260"/>
      <c r="J707" s="260"/>
    </row>
    <row r="708" spans="3:10" x14ac:dyDescent="0.25">
      <c r="C708" s="260"/>
      <c r="D708" s="260"/>
      <c r="E708" s="260"/>
      <c r="F708" s="260"/>
      <c r="G708" s="260"/>
      <c r="H708" s="260"/>
      <c r="I708" s="260"/>
      <c r="J708" s="260"/>
    </row>
    <row r="709" spans="3:10" x14ac:dyDescent="0.25">
      <c r="C709" s="260"/>
      <c r="D709" s="260"/>
      <c r="E709" s="260"/>
      <c r="F709" s="260"/>
      <c r="G709" s="260"/>
      <c r="H709" s="260"/>
      <c r="I709" s="260"/>
      <c r="J709" s="260"/>
    </row>
    <row r="710" spans="3:10" x14ac:dyDescent="0.25">
      <c r="C710" s="260"/>
      <c r="D710" s="260"/>
      <c r="E710" s="260"/>
      <c r="F710" s="260"/>
      <c r="G710" s="260"/>
      <c r="H710" s="260"/>
      <c r="I710" s="260"/>
      <c r="J710" s="260"/>
    </row>
    <row r="711" spans="3:10" x14ac:dyDescent="0.25">
      <c r="C711" s="260"/>
      <c r="D711" s="260"/>
      <c r="E711" s="260"/>
      <c r="F711" s="260"/>
      <c r="G711" s="260"/>
      <c r="H711" s="260"/>
      <c r="I711" s="260"/>
      <c r="J711" s="260"/>
    </row>
    <row r="712" spans="3:10" x14ac:dyDescent="0.25">
      <c r="C712" s="260"/>
      <c r="D712" s="260"/>
      <c r="E712" s="260"/>
      <c r="F712" s="260"/>
      <c r="G712" s="260"/>
      <c r="H712" s="260"/>
      <c r="I712" s="260"/>
      <c r="J712" s="260"/>
    </row>
    <row r="713" spans="3:10" x14ac:dyDescent="0.25">
      <c r="C713" s="260"/>
      <c r="D713" s="260"/>
      <c r="E713" s="260"/>
      <c r="F713" s="260"/>
      <c r="G713" s="260"/>
      <c r="H713" s="260"/>
      <c r="I713" s="260"/>
      <c r="J713" s="260"/>
    </row>
    <row r="714" spans="3:10" x14ac:dyDescent="0.25">
      <c r="C714" s="260"/>
      <c r="D714" s="260"/>
      <c r="E714" s="260"/>
      <c r="F714" s="260"/>
      <c r="G714" s="260"/>
      <c r="H714" s="260"/>
      <c r="I714" s="260"/>
      <c r="J714" s="260"/>
    </row>
    <row r="715" spans="3:10" x14ac:dyDescent="0.25">
      <c r="C715" s="260"/>
      <c r="D715" s="260"/>
      <c r="E715" s="260"/>
      <c r="F715" s="260"/>
      <c r="G715" s="260"/>
      <c r="H715" s="260"/>
      <c r="I715" s="260"/>
      <c r="J715" s="260"/>
    </row>
    <row r="716" spans="3:10" x14ac:dyDescent="0.25">
      <c r="C716" s="260"/>
      <c r="D716" s="260"/>
      <c r="E716" s="260"/>
      <c r="F716" s="260"/>
      <c r="G716" s="260"/>
      <c r="H716" s="260"/>
      <c r="I716" s="260"/>
      <c r="J716" s="260"/>
    </row>
    <row r="717" spans="3:10" x14ac:dyDescent="0.25">
      <c r="C717" s="260"/>
      <c r="D717" s="260"/>
      <c r="E717" s="260"/>
      <c r="F717" s="260"/>
      <c r="G717" s="260"/>
      <c r="H717" s="260"/>
      <c r="I717" s="260"/>
      <c r="J717" s="260"/>
    </row>
    <row r="718" spans="3:10" x14ac:dyDescent="0.25">
      <c r="C718" s="260"/>
      <c r="D718" s="260"/>
      <c r="E718" s="260"/>
      <c r="F718" s="260"/>
      <c r="G718" s="260"/>
      <c r="H718" s="260"/>
      <c r="I718" s="260"/>
      <c r="J718" s="260"/>
    </row>
    <row r="719" spans="3:10" x14ac:dyDescent="0.25">
      <c r="C719" s="260"/>
      <c r="D719" s="260"/>
      <c r="E719" s="260"/>
      <c r="F719" s="260"/>
      <c r="G719" s="260"/>
      <c r="H719" s="260"/>
      <c r="I719" s="260"/>
      <c r="J719" s="260"/>
    </row>
    <row r="720" spans="3:10" x14ac:dyDescent="0.25">
      <c r="C720" s="260"/>
      <c r="D720" s="260"/>
      <c r="E720" s="260"/>
      <c r="F720" s="260"/>
      <c r="G720" s="260"/>
      <c r="H720" s="260"/>
      <c r="I720" s="260"/>
      <c r="J720" s="260"/>
    </row>
    <row r="721" spans="3:10" x14ac:dyDescent="0.25">
      <c r="C721" s="260"/>
      <c r="D721" s="260"/>
      <c r="E721" s="260"/>
      <c r="F721" s="260"/>
      <c r="G721" s="260"/>
      <c r="H721" s="260"/>
      <c r="I721" s="260"/>
      <c r="J721" s="260"/>
    </row>
    <row r="722" spans="3:10" x14ac:dyDescent="0.25">
      <c r="C722" s="260"/>
      <c r="D722" s="260"/>
      <c r="E722" s="260"/>
      <c r="F722" s="260"/>
      <c r="G722" s="260"/>
      <c r="H722" s="260"/>
      <c r="I722" s="260"/>
      <c r="J722" s="260"/>
    </row>
    <row r="723" spans="3:10" x14ac:dyDescent="0.25">
      <c r="C723" s="260"/>
      <c r="D723" s="260"/>
      <c r="E723" s="260"/>
      <c r="F723" s="260"/>
      <c r="G723" s="260"/>
      <c r="H723" s="260"/>
      <c r="I723" s="260"/>
      <c r="J723" s="260"/>
    </row>
    <row r="724" spans="3:10" ht="16.5" customHeight="1" x14ac:dyDescent="0.25">
      <c r="C724" s="260"/>
      <c r="D724" s="260"/>
      <c r="E724" s="260"/>
      <c r="F724" s="260"/>
      <c r="G724" s="260"/>
      <c r="H724" s="260"/>
      <c r="I724" s="260"/>
      <c r="J724" s="260"/>
    </row>
    <row r="725" spans="3:10" x14ac:dyDescent="0.25">
      <c r="C725" s="260"/>
      <c r="D725" s="260"/>
      <c r="E725" s="260"/>
      <c r="F725" s="260"/>
      <c r="G725" s="260"/>
      <c r="H725" s="260"/>
      <c r="I725" s="260"/>
      <c r="J725" s="260"/>
    </row>
    <row r="726" spans="3:10" x14ac:dyDescent="0.25">
      <c r="C726" s="260"/>
      <c r="D726" s="260"/>
      <c r="E726" s="260"/>
      <c r="F726" s="260"/>
      <c r="G726" s="260"/>
      <c r="H726" s="260"/>
      <c r="I726" s="260"/>
      <c r="J726" s="260"/>
    </row>
    <row r="727" spans="3:10" x14ac:dyDescent="0.25">
      <c r="C727" s="260"/>
      <c r="D727" s="260"/>
      <c r="E727" s="260"/>
      <c r="F727" s="260"/>
      <c r="G727" s="260"/>
      <c r="H727" s="260"/>
      <c r="I727" s="260"/>
      <c r="J727" s="260"/>
    </row>
    <row r="728" spans="3:10" x14ac:dyDescent="0.25">
      <c r="C728" s="260"/>
      <c r="D728" s="260"/>
      <c r="E728" s="260"/>
      <c r="F728" s="260"/>
      <c r="G728" s="260"/>
      <c r="H728" s="260"/>
      <c r="I728" s="260"/>
      <c r="J728" s="260"/>
    </row>
    <row r="729" spans="3:10" x14ac:dyDescent="0.25">
      <c r="C729" s="260"/>
      <c r="D729" s="260"/>
      <c r="E729" s="260"/>
      <c r="F729" s="260"/>
      <c r="G729" s="260"/>
      <c r="H729" s="260"/>
      <c r="I729" s="260"/>
      <c r="J729" s="260"/>
    </row>
    <row r="730" spans="3:10" x14ac:dyDescent="0.25">
      <c r="C730" s="260"/>
      <c r="D730" s="260"/>
      <c r="E730" s="260"/>
      <c r="F730" s="260"/>
      <c r="G730" s="260"/>
      <c r="H730" s="260"/>
      <c r="I730" s="260"/>
      <c r="J730" s="260"/>
    </row>
    <row r="731" spans="3:10" x14ac:dyDescent="0.25">
      <c r="C731" s="260"/>
      <c r="D731" s="260"/>
      <c r="E731" s="260"/>
      <c r="F731" s="260"/>
      <c r="G731" s="260"/>
      <c r="H731" s="260"/>
      <c r="I731" s="260"/>
      <c r="J731" s="260"/>
    </row>
    <row r="732" spans="3:10" x14ac:dyDescent="0.25">
      <c r="C732" s="260"/>
      <c r="D732" s="260"/>
      <c r="E732" s="260"/>
      <c r="F732" s="260"/>
      <c r="G732" s="260"/>
      <c r="H732" s="260"/>
      <c r="I732" s="260"/>
      <c r="J732" s="260"/>
    </row>
    <row r="733" spans="3:10" x14ac:dyDescent="0.25">
      <c r="C733" s="260"/>
      <c r="D733" s="260"/>
      <c r="E733" s="260"/>
      <c r="F733" s="260"/>
      <c r="G733" s="260"/>
      <c r="H733" s="260"/>
      <c r="I733" s="260"/>
      <c r="J733" s="260"/>
    </row>
    <row r="734" spans="3:10" x14ac:dyDescent="0.25">
      <c r="C734" s="260"/>
      <c r="D734" s="260"/>
      <c r="E734" s="260"/>
      <c r="F734" s="260"/>
      <c r="G734" s="260"/>
      <c r="H734" s="260"/>
      <c r="I734" s="260"/>
      <c r="J734" s="260"/>
    </row>
    <row r="735" spans="3:10" x14ac:dyDescent="0.25">
      <c r="C735" s="260"/>
      <c r="D735" s="260"/>
      <c r="E735" s="260"/>
      <c r="F735" s="260"/>
      <c r="G735" s="260"/>
      <c r="H735" s="260"/>
      <c r="I735" s="260"/>
      <c r="J735" s="260"/>
    </row>
    <row r="736" spans="3:10" x14ac:dyDescent="0.25">
      <c r="C736" s="260"/>
      <c r="D736" s="260"/>
      <c r="E736" s="260"/>
      <c r="F736" s="260"/>
      <c r="G736" s="260"/>
      <c r="H736" s="260"/>
      <c r="I736" s="260"/>
      <c r="J736" s="260"/>
    </row>
    <row r="737" spans="3:10" x14ac:dyDescent="0.25">
      <c r="C737" s="260"/>
      <c r="D737" s="260"/>
      <c r="E737" s="260"/>
      <c r="F737" s="260"/>
      <c r="G737" s="260"/>
      <c r="H737" s="260"/>
      <c r="I737" s="260"/>
      <c r="J737" s="260"/>
    </row>
    <row r="738" spans="3:10" x14ac:dyDescent="0.25">
      <c r="C738" s="260"/>
      <c r="D738" s="260"/>
      <c r="E738" s="260"/>
      <c r="F738" s="260"/>
      <c r="G738" s="260"/>
      <c r="H738" s="260"/>
      <c r="I738" s="260"/>
      <c r="J738" s="260"/>
    </row>
    <row r="739" spans="3:10" x14ac:dyDescent="0.25">
      <c r="C739" s="260"/>
      <c r="D739" s="260"/>
      <c r="E739" s="260"/>
      <c r="F739" s="260"/>
      <c r="G739" s="260"/>
      <c r="H739" s="260"/>
      <c r="I739" s="260"/>
      <c r="J739" s="260"/>
    </row>
    <row r="740" spans="3:10" x14ac:dyDescent="0.25">
      <c r="C740" s="260"/>
      <c r="D740" s="260"/>
      <c r="E740" s="260"/>
      <c r="F740" s="260"/>
      <c r="G740" s="260"/>
      <c r="H740" s="260"/>
      <c r="I740" s="260"/>
      <c r="J740" s="260"/>
    </row>
    <row r="741" spans="3:10" ht="15.75" customHeight="1" x14ac:dyDescent="0.25">
      <c r="C741" s="260"/>
      <c r="D741" s="260"/>
      <c r="E741" s="260"/>
      <c r="F741" s="260"/>
      <c r="G741" s="260"/>
      <c r="H741" s="260"/>
      <c r="I741" s="260"/>
      <c r="J741" s="260"/>
    </row>
    <row r="742" spans="3:10" x14ac:dyDescent="0.25">
      <c r="C742" s="260"/>
      <c r="D742" s="260"/>
      <c r="E742" s="260"/>
      <c r="F742" s="260"/>
      <c r="G742" s="260"/>
      <c r="H742" s="260"/>
      <c r="I742" s="260"/>
      <c r="J742" s="260"/>
    </row>
    <row r="743" spans="3:10" x14ac:dyDescent="0.25">
      <c r="C743" s="260"/>
      <c r="D743" s="260"/>
      <c r="E743" s="260"/>
      <c r="F743" s="260"/>
      <c r="G743" s="260"/>
      <c r="H743" s="260"/>
      <c r="I743" s="260"/>
      <c r="J743" s="260"/>
    </row>
    <row r="744" spans="3:10" x14ac:dyDescent="0.25">
      <c r="C744" s="260"/>
      <c r="D744" s="260"/>
      <c r="E744" s="260"/>
      <c r="F744" s="260"/>
      <c r="G744" s="260"/>
      <c r="H744" s="260"/>
      <c r="I744" s="260"/>
      <c r="J744" s="260"/>
    </row>
    <row r="745" spans="3:10" x14ac:dyDescent="0.25">
      <c r="C745" s="260"/>
      <c r="D745" s="260"/>
      <c r="E745" s="260"/>
      <c r="F745" s="260"/>
      <c r="G745" s="260"/>
      <c r="H745" s="260"/>
      <c r="I745" s="260"/>
      <c r="J745" s="260"/>
    </row>
    <row r="746" spans="3:10" x14ac:dyDescent="0.25">
      <c r="C746" s="260"/>
      <c r="D746" s="260"/>
      <c r="E746" s="260"/>
      <c r="F746" s="260"/>
      <c r="G746" s="260"/>
      <c r="H746" s="260"/>
      <c r="I746" s="260"/>
      <c r="J746" s="260"/>
    </row>
    <row r="747" spans="3:10" x14ac:dyDescent="0.25">
      <c r="C747" s="260"/>
      <c r="D747" s="260"/>
      <c r="E747" s="260"/>
      <c r="F747" s="260"/>
      <c r="G747" s="260"/>
      <c r="H747" s="260"/>
      <c r="I747" s="260"/>
      <c r="J747" s="260"/>
    </row>
    <row r="748" spans="3:10" x14ac:dyDescent="0.25">
      <c r="C748" s="260"/>
      <c r="D748" s="260"/>
      <c r="E748" s="260"/>
      <c r="F748" s="260"/>
      <c r="G748" s="260"/>
      <c r="H748" s="260"/>
      <c r="I748" s="260"/>
      <c r="J748" s="260"/>
    </row>
    <row r="749" spans="3:10" x14ac:dyDescent="0.25">
      <c r="C749" s="260"/>
      <c r="D749" s="260"/>
      <c r="E749" s="260"/>
      <c r="F749" s="260"/>
      <c r="G749" s="260"/>
      <c r="H749" s="260"/>
      <c r="I749" s="260"/>
      <c r="J749" s="260"/>
    </row>
    <row r="750" spans="3:10" x14ac:dyDescent="0.25">
      <c r="C750" s="260"/>
      <c r="D750" s="260"/>
      <c r="E750" s="260"/>
      <c r="F750" s="260"/>
      <c r="G750" s="260"/>
      <c r="H750" s="260"/>
      <c r="I750" s="260"/>
      <c r="J750" s="260"/>
    </row>
    <row r="751" spans="3:10" x14ac:dyDescent="0.25">
      <c r="C751" s="260"/>
      <c r="D751" s="260"/>
      <c r="E751" s="260"/>
      <c r="F751" s="260"/>
      <c r="G751" s="260"/>
      <c r="H751" s="260"/>
      <c r="I751" s="260"/>
      <c r="J751" s="260"/>
    </row>
    <row r="752" spans="3:10" x14ac:dyDescent="0.25">
      <c r="C752" s="260"/>
      <c r="D752" s="260"/>
      <c r="E752" s="260"/>
      <c r="F752" s="260"/>
      <c r="G752" s="260"/>
      <c r="H752" s="260"/>
      <c r="I752" s="260"/>
      <c r="J752" s="260"/>
    </row>
    <row r="753" spans="3:10" x14ac:dyDescent="0.25">
      <c r="C753" s="260"/>
      <c r="D753" s="260"/>
      <c r="E753" s="260"/>
      <c r="F753" s="260"/>
      <c r="G753" s="260"/>
      <c r="H753" s="260"/>
      <c r="I753" s="260"/>
      <c r="J753" s="260"/>
    </row>
    <row r="754" spans="3:10" x14ac:dyDescent="0.25">
      <c r="C754" s="260"/>
      <c r="D754" s="260"/>
      <c r="E754" s="260"/>
      <c r="F754" s="260"/>
      <c r="G754" s="260"/>
      <c r="H754" s="260"/>
      <c r="I754" s="260"/>
      <c r="J754" s="260"/>
    </row>
    <row r="755" spans="3:10" x14ac:dyDescent="0.25">
      <c r="C755" s="260"/>
      <c r="D755" s="260"/>
      <c r="E755" s="260"/>
      <c r="F755" s="260"/>
      <c r="G755" s="260"/>
      <c r="H755" s="260"/>
      <c r="I755" s="260"/>
      <c r="J755" s="260"/>
    </row>
    <row r="756" spans="3:10" x14ac:dyDescent="0.25">
      <c r="C756" s="260"/>
      <c r="D756" s="260"/>
      <c r="E756" s="260"/>
      <c r="F756" s="260"/>
      <c r="G756" s="260"/>
      <c r="H756" s="260"/>
      <c r="I756" s="260"/>
      <c r="J756" s="260"/>
    </row>
    <row r="757" spans="3:10" x14ac:dyDescent="0.25">
      <c r="C757" s="260"/>
      <c r="D757" s="260"/>
      <c r="E757" s="260"/>
      <c r="F757" s="260"/>
      <c r="G757" s="260"/>
      <c r="H757" s="260"/>
      <c r="I757" s="260"/>
      <c r="J757" s="260"/>
    </row>
    <row r="758" spans="3:10" x14ac:dyDescent="0.25">
      <c r="C758" s="260"/>
      <c r="D758" s="260"/>
      <c r="E758" s="260"/>
      <c r="F758" s="260"/>
      <c r="G758" s="260"/>
      <c r="H758" s="260"/>
      <c r="I758" s="260"/>
      <c r="J758" s="260"/>
    </row>
    <row r="759" spans="3:10" x14ac:dyDescent="0.25">
      <c r="C759" s="260"/>
      <c r="D759" s="260"/>
      <c r="E759" s="260"/>
      <c r="F759" s="260"/>
      <c r="G759" s="260"/>
      <c r="H759" s="260"/>
      <c r="I759" s="260"/>
      <c r="J759" s="260"/>
    </row>
    <row r="760" spans="3:10" x14ac:dyDescent="0.25">
      <c r="C760" s="260"/>
      <c r="D760" s="260"/>
      <c r="E760" s="260"/>
      <c r="F760" s="260"/>
      <c r="G760" s="260"/>
      <c r="H760" s="260"/>
      <c r="I760" s="260"/>
      <c r="J760" s="260"/>
    </row>
    <row r="761" spans="3:10" x14ac:dyDescent="0.25">
      <c r="C761" s="260"/>
      <c r="D761" s="260"/>
      <c r="E761" s="260"/>
      <c r="F761" s="260"/>
      <c r="G761" s="260"/>
      <c r="H761" s="260"/>
      <c r="I761" s="260"/>
      <c r="J761" s="260"/>
    </row>
    <row r="762" spans="3:10" x14ac:dyDescent="0.25">
      <c r="C762" s="260"/>
      <c r="D762" s="260"/>
      <c r="E762" s="260"/>
      <c r="F762" s="260"/>
      <c r="G762" s="260"/>
      <c r="H762" s="260"/>
      <c r="I762" s="260"/>
      <c r="J762" s="260"/>
    </row>
    <row r="763" spans="3:10" x14ac:dyDescent="0.25">
      <c r="C763" s="260"/>
      <c r="D763" s="260"/>
      <c r="E763" s="260"/>
      <c r="F763" s="260"/>
      <c r="G763" s="260"/>
      <c r="H763" s="260"/>
      <c r="I763" s="260"/>
      <c r="J763" s="260"/>
    </row>
    <row r="764" spans="3:10" x14ac:dyDescent="0.25">
      <c r="C764" s="260"/>
      <c r="D764" s="260"/>
      <c r="E764" s="260"/>
      <c r="F764" s="260"/>
      <c r="G764" s="260"/>
      <c r="H764" s="260"/>
      <c r="I764" s="260"/>
      <c r="J764" s="260"/>
    </row>
    <row r="765" spans="3:10" x14ac:dyDescent="0.25">
      <c r="C765" s="260"/>
      <c r="D765" s="260"/>
      <c r="E765" s="260"/>
      <c r="F765" s="260"/>
      <c r="G765" s="260"/>
      <c r="H765" s="260"/>
      <c r="I765" s="260"/>
      <c r="J765" s="260"/>
    </row>
    <row r="766" spans="3:10" x14ac:dyDescent="0.25">
      <c r="C766" s="260"/>
      <c r="D766" s="260"/>
      <c r="E766" s="260"/>
      <c r="F766" s="260"/>
      <c r="G766" s="260"/>
      <c r="H766" s="260"/>
      <c r="I766" s="260"/>
      <c r="J766" s="260"/>
    </row>
    <row r="767" spans="3:10" x14ac:dyDescent="0.25">
      <c r="C767" s="260"/>
      <c r="D767" s="260"/>
      <c r="E767" s="260"/>
      <c r="F767" s="260"/>
      <c r="G767" s="260"/>
      <c r="H767" s="260"/>
      <c r="I767" s="260"/>
      <c r="J767" s="260"/>
    </row>
    <row r="768" spans="3:10" x14ac:dyDescent="0.25">
      <c r="C768" s="260"/>
      <c r="D768" s="260"/>
      <c r="E768" s="260"/>
      <c r="F768" s="260"/>
      <c r="G768" s="260"/>
      <c r="H768" s="260"/>
      <c r="I768" s="260"/>
      <c r="J768" s="260"/>
    </row>
    <row r="769" spans="3:10" x14ac:dyDescent="0.25">
      <c r="C769" s="260"/>
      <c r="D769" s="260"/>
      <c r="E769" s="260"/>
      <c r="F769" s="260"/>
      <c r="G769" s="260"/>
      <c r="H769" s="260"/>
      <c r="I769" s="260"/>
      <c r="J769" s="260"/>
    </row>
    <row r="770" spans="3:10" x14ac:dyDescent="0.25">
      <c r="C770" s="260"/>
      <c r="D770" s="260"/>
      <c r="E770" s="260"/>
      <c r="F770" s="260"/>
      <c r="G770" s="260"/>
      <c r="H770" s="260"/>
      <c r="I770" s="260"/>
      <c r="J770" s="260"/>
    </row>
    <row r="771" spans="3:10" x14ac:dyDescent="0.25">
      <c r="C771" s="260"/>
      <c r="D771" s="260"/>
      <c r="E771" s="260"/>
      <c r="F771" s="260"/>
      <c r="G771" s="260"/>
      <c r="H771" s="260"/>
      <c r="I771" s="260"/>
      <c r="J771" s="260"/>
    </row>
    <row r="772" spans="3:10" x14ac:dyDescent="0.25">
      <c r="C772" s="260"/>
      <c r="D772" s="260"/>
      <c r="E772" s="260"/>
      <c r="F772" s="260"/>
      <c r="G772" s="260"/>
      <c r="H772" s="260"/>
      <c r="I772" s="260"/>
      <c r="J772" s="260"/>
    </row>
    <row r="773" spans="3:10" x14ac:dyDescent="0.25">
      <c r="C773" s="260"/>
      <c r="D773" s="260"/>
      <c r="E773" s="260"/>
      <c r="F773" s="260"/>
      <c r="G773" s="260"/>
      <c r="H773" s="260"/>
      <c r="I773" s="260"/>
      <c r="J773" s="260"/>
    </row>
    <row r="774" spans="3:10" x14ac:dyDescent="0.25">
      <c r="C774" s="260"/>
      <c r="D774" s="260"/>
      <c r="E774" s="260"/>
      <c r="F774" s="260"/>
      <c r="G774" s="260"/>
      <c r="H774" s="260"/>
      <c r="I774" s="260"/>
      <c r="J774" s="260"/>
    </row>
    <row r="775" spans="3:10" ht="16.5" customHeight="1" x14ac:dyDescent="0.25">
      <c r="C775" s="260"/>
      <c r="D775" s="260"/>
      <c r="E775" s="260"/>
      <c r="F775" s="260"/>
      <c r="G775" s="260"/>
      <c r="H775" s="260"/>
      <c r="I775" s="260"/>
      <c r="J775" s="260"/>
    </row>
    <row r="776" spans="3:10" x14ac:dyDescent="0.25">
      <c r="C776" s="260"/>
      <c r="D776" s="260"/>
      <c r="E776" s="260"/>
      <c r="F776" s="260"/>
      <c r="G776" s="260"/>
      <c r="H776" s="260"/>
      <c r="I776" s="260"/>
      <c r="J776" s="260"/>
    </row>
    <row r="777" spans="3:10" x14ac:dyDescent="0.25">
      <c r="C777" s="260"/>
      <c r="D777" s="260"/>
      <c r="E777" s="260"/>
      <c r="F777" s="260"/>
      <c r="G777" s="260"/>
      <c r="H777" s="260"/>
      <c r="I777" s="260"/>
      <c r="J777" s="260"/>
    </row>
    <row r="778" spans="3:10" x14ac:dyDescent="0.25">
      <c r="C778" s="260"/>
      <c r="D778" s="260"/>
      <c r="E778" s="260"/>
      <c r="F778" s="260"/>
      <c r="G778" s="260"/>
      <c r="H778" s="260"/>
      <c r="I778" s="260"/>
      <c r="J778" s="260"/>
    </row>
    <row r="779" spans="3:10" x14ac:dyDescent="0.25">
      <c r="C779" s="260"/>
      <c r="D779" s="260"/>
      <c r="E779" s="260"/>
      <c r="F779" s="260"/>
      <c r="G779" s="260"/>
      <c r="H779" s="260"/>
      <c r="I779" s="260"/>
      <c r="J779" s="260"/>
    </row>
    <row r="780" spans="3:10" x14ac:dyDescent="0.25">
      <c r="C780" s="260"/>
      <c r="D780" s="260"/>
      <c r="E780" s="260"/>
      <c r="F780" s="260"/>
      <c r="G780" s="260"/>
      <c r="H780" s="260"/>
      <c r="I780" s="260"/>
      <c r="J780" s="260"/>
    </row>
    <row r="781" spans="3:10" x14ac:dyDescent="0.25">
      <c r="C781" s="260"/>
      <c r="D781" s="260"/>
      <c r="E781" s="260"/>
      <c r="F781" s="260"/>
      <c r="G781" s="260"/>
      <c r="H781" s="260"/>
      <c r="I781" s="260"/>
      <c r="J781" s="260"/>
    </row>
    <row r="782" spans="3:10" ht="15.75" customHeight="1" x14ac:dyDescent="0.25">
      <c r="C782" s="260"/>
      <c r="D782" s="260"/>
      <c r="E782" s="260"/>
      <c r="F782" s="260"/>
      <c r="G782" s="260"/>
      <c r="H782" s="260"/>
      <c r="I782" s="260"/>
      <c r="J782" s="260"/>
    </row>
    <row r="783" spans="3:10" x14ac:dyDescent="0.25">
      <c r="C783" s="260"/>
      <c r="D783" s="260"/>
      <c r="E783" s="260"/>
      <c r="F783" s="260"/>
      <c r="G783" s="260"/>
      <c r="H783" s="260"/>
      <c r="I783" s="260"/>
      <c r="J783" s="260"/>
    </row>
    <row r="784" spans="3:10" x14ac:dyDescent="0.25">
      <c r="C784" s="260"/>
      <c r="D784" s="260"/>
      <c r="E784" s="260"/>
      <c r="F784" s="260"/>
      <c r="G784" s="260"/>
      <c r="H784" s="260"/>
      <c r="I784" s="260"/>
      <c r="J784" s="260"/>
    </row>
    <row r="785" spans="3:10" x14ac:dyDescent="0.25">
      <c r="C785" s="260"/>
      <c r="D785" s="260"/>
      <c r="E785" s="260"/>
      <c r="F785" s="260"/>
      <c r="G785" s="260"/>
      <c r="H785" s="260"/>
      <c r="I785" s="260"/>
      <c r="J785" s="260"/>
    </row>
    <row r="786" spans="3:10" x14ac:dyDescent="0.25">
      <c r="C786" s="260"/>
      <c r="D786" s="260"/>
      <c r="E786" s="260"/>
      <c r="F786" s="260"/>
      <c r="G786" s="260"/>
      <c r="H786" s="260"/>
      <c r="I786" s="260"/>
      <c r="J786" s="260"/>
    </row>
    <row r="787" spans="3:10" x14ac:dyDescent="0.25">
      <c r="C787" s="260"/>
      <c r="D787" s="260"/>
      <c r="E787" s="260"/>
      <c r="F787" s="260"/>
      <c r="G787" s="260"/>
      <c r="H787" s="260"/>
      <c r="I787" s="260"/>
      <c r="J787" s="260"/>
    </row>
    <row r="788" spans="3:10" x14ac:dyDescent="0.25">
      <c r="C788" s="260"/>
      <c r="D788" s="260"/>
      <c r="E788" s="260"/>
      <c r="F788" s="260"/>
      <c r="G788" s="260"/>
      <c r="H788" s="260"/>
      <c r="I788" s="260"/>
      <c r="J788" s="260"/>
    </row>
    <row r="789" spans="3:10" x14ac:dyDescent="0.25">
      <c r="C789" s="260"/>
      <c r="D789" s="260"/>
      <c r="E789" s="260"/>
      <c r="F789" s="260"/>
      <c r="G789" s="260"/>
      <c r="H789" s="260"/>
      <c r="I789" s="260"/>
      <c r="J789" s="260"/>
    </row>
    <row r="790" spans="3:10" x14ac:dyDescent="0.25">
      <c r="C790" s="260"/>
      <c r="D790" s="260"/>
      <c r="E790" s="260"/>
      <c r="F790" s="260"/>
      <c r="G790" s="260"/>
      <c r="H790" s="260"/>
      <c r="I790" s="260"/>
      <c r="J790" s="260"/>
    </row>
    <row r="791" spans="3:10" x14ac:dyDescent="0.25">
      <c r="C791" s="260"/>
      <c r="D791" s="260"/>
      <c r="E791" s="260"/>
      <c r="F791" s="260"/>
      <c r="G791" s="260"/>
      <c r="H791" s="260"/>
      <c r="I791" s="260"/>
      <c r="J791" s="260"/>
    </row>
    <row r="792" spans="3:10" ht="16.5" customHeight="1" x14ac:dyDescent="0.25">
      <c r="C792" s="260"/>
      <c r="D792" s="260"/>
      <c r="E792" s="260"/>
      <c r="F792" s="260"/>
      <c r="G792" s="260"/>
      <c r="H792" s="260"/>
      <c r="I792" s="260"/>
      <c r="J792" s="260"/>
    </row>
    <row r="793" spans="3:10" x14ac:dyDescent="0.25">
      <c r="C793" s="260"/>
      <c r="D793" s="260"/>
      <c r="E793" s="260"/>
      <c r="F793" s="260"/>
      <c r="G793" s="260"/>
      <c r="H793" s="260"/>
      <c r="I793" s="260"/>
      <c r="J793" s="260"/>
    </row>
    <row r="794" spans="3:10" ht="38.25" customHeight="1" x14ac:dyDescent="0.25">
      <c r="C794" s="260"/>
      <c r="D794" s="260"/>
      <c r="E794" s="260"/>
      <c r="F794" s="260"/>
      <c r="G794" s="260"/>
      <c r="H794" s="260"/>
      <c r="I794" s="260"/>
      <c r="J794" s="260"/>
    </row>
    <row r="795" spans="3:10" x14ac:dyDescent="0.25">
      <c r="C795" s="260"/>
      <c r="D795" s="260"/>
      <c r="E795" s="260"/>
      <c r="F795" s="260"/>
      <c r="G795" s="260"/>
      <c r="H795" s="260"/>
      <c r="I795" s="260"/>
      <c r="J795" s="260"/>
    </row>
    <row r="796" spans="3:10" ht="38.25" customHeight="1" x14ac:dyDescent="0.25">
      <c r="C796" s="260"/>
      <c r="D796" s="260"/>
      <c r="E796" s="260"/>
      <c r="F796" s="260"/>
      <c r="G796" s="260"/>
      <c r="H796" s="260"/>
      <c r="I796" s="260"/>
      <c r="J796" s="260"/>
    </row>
    <row r="797" spans="3:10" x14ac:dyDescent="0.25">
      <c r="C797" s="260"/>
      <c r="D797" s="260"/>
      <c r="E797" s="260"/>
      <c r="F797" s="260"/>
      <c r="G797" s="260"/>
      <c r="H797" s="260"/>
      <c r="I797" s="260"/>
      <c r="J797" s="260"/>
    </row>
    <row r="798" spans="3:10" x14ac:dyDescent="0.25">
      <c r="C798" s="260"/>
      <c r="D798" s="260"/>
      <c r="E798" s="260"/>
      <c r="F798" s="260"/>
      <c r="G798" s="260"/>
      <c r="H798" s="260"/>
      <c r="I798" s="260"/>
      <c r="J798" s="260"/>
    </row>
    <row r="799" spans="3:10" x14ac:dyDescent="0.25">
      <c r="C799" s="260"/>
      <c r="D799" s="260"/>
      <c r="E799" s="260"/>
      <c r="F799" s="260"/>
      <c r="G799" s="260"/>
      <c r="H799" s="260"/>
      <c r="I799" s="260"/>
      <c r="J799" s="260"/>
    </row>
    <row r="800" spans="3:10" ht="38.25" customHeight="1" x14ac:dyDescent="0.25">
      <c r="C800" s="260"/>
      <c r="D800" s="260"/>
      <c r="E800" s="260"/>
      <c r="F800" s="260"/>
      <c r="G800" s="260"/>
      <c r="H800" s="260"/>
      <c r="I800" s="260"/>
      <c r="J800" s="260"/>
    </row>
    <row r="801" spans="3:10" x14ac:dyDescent="0.25">
      <c r="C801" s="260"/>
      <c r="D801" s="260"/>
      <c r="E801" s="260"/>
      <c r="F801" s="260"/>
      <c r="G801" s="260"/>
      <c r="H801" s="260"/>
      <c r="I801" s="260"/>
      <c r="J801" s="260"/>
    </row>
    <row r="802" spans="3:10" x14ac:dyDescent="0.25">
      <c r="C802" s="260"/>
      <c r="D802" s="260"/>
      <c r="E802" s="260"/>
      <c r="F802" s="260"/>
      <c r="G802" s="260"/>
      <c r="H802" s="260"/>
      <c r="I802" s="260"/>
      <c r="J802" s="260"/>
    </row>
    <row r="803" spans="3:10" x14ac:dyDescent="0.25">
      <c r="C803" s="260"/>
      <c r="D803" s="260"/>
      <c r="E803" s="260"/>
      <c r="F803" s="260"/>
      <c r="G803" s="260"/>
      <c r="H803" s="260"/>
      <c r="I803" s="260"/>
      <c r="J803" s="260"/>
    </row>
    <row r="804" spans="3:10" ht="38.25" customHeight="1" x14ac:dyDescent="0.25">
      <c r="C804" s="260"/>
      <c r="D804" s="260"/>
      <c r="E804" s="260"/>
      <c r="F804" s="260"/>
      <c r="G804" s="260"/>
      <c r="H804" s="260"/>
      <c r="I804" s="260"/>
      <c r="J804" s="260"/>
    </row>
    <row r="805" spans="3:10" x14ac:dyDescent="0.25">
      <c r="C805" s="260"/>
      <c r="D805" s="260"/>
      <c r="E805" s="260"/>
      <c r="F805" s="260"/>
      <c r="G805" s="260"/>
      <c r="H805" s="260"/>
      <c r="I805" s="260"/>
      <c r="J805" s="260"/>
    </row>
    <row r="806" spans="3:10" x14ac:dyDescent="0.25">
      <c r="C806" s="260"/>
      <c r="D806" s="260"/>
      <c r="E806" s="260"/>
      <c r="F806" s="260"/>
      <c r="G806" s="260"/>
      <c r="H806" s="260"/>
      <c r="I806" s="260"/>
      <c r="J806" s="260"/>
    </row>
    <row r="807" spans="3:10" x14ac:dyDescent="0.25">
      <c r="C807" s="260"/>
      <c r="D807" s="260"/>
      <c r="E807" s="260"/>
      <c r="F807" s="260"/>
      <c r="G807" s="260"/>
      <c r="H807" s="260"/>
      <c r="I807" s="260"/>
      <c r="J807" s="260"/>
    </row>
    <row r="808" spans="3:10" x14ac:dyDescent="0.25">
      <c r="C808" s="260"/>
      <c r="D808" s="260"/>
      <c r="E808" s="260"/>
      <c r="F808" s="260"/>
      <c r="G808" s="260"/>
      <c r="H808" s="260"/>
      <c r="I808" s="260"/>
      <c r="J808" s="260"/>
    </row>
    <row r="809" spans="3:10" x14ac:dyDescent="0.25">
      <c r="C809" s="260"/>
      <c r="D809" s="260"/>
      <c r="E809" s="260"/>
      <c r="F809" s="260"/>
      <c r="G809" s="260"/>
      <c r="H809" s="260"/>
      <c r="I809" s="260"/>
      <c r="J809" s="260"/>
    </row>
    <row r="810" spans="3:10" ht="15.75" customHeight="1" x14ac:dyDescent="0.25">
      <c r="C810" s="260"/>
      <c r="D810" s="260"/>
      <c r="E810" s="260"/>
      <c r="F810" s="260"/>
      <c r="G810" s="260"/>
      <c r="H810" s="260"/>
      <c r="I810" s="260"/>
      <c r="J810" s="260"/>
    </row>
    <row r="811" spans="3:10" x14ac:dyDescent="0.25">
      <c r="C811" s="260"/>
      <c r="D811" s="260"/>
      <c r="E811" s="260"/>
      <c r="F811" s="260"/>
      <c r="G811" s="260"/>
      <c r="H811" s="260"/>
      <c r="I811" s="260"/>
      <c r="J811" s="260"/>
    </row>
    <row r="812" spans="3:10" x14ac:dyDescent="0.25">
      <c r="C812" s="260"/>
      <c r="D812" s="260"/>
      <c r="E812" s="260"/>
      <c r="F812" s="260"/>
      <c r="G812" s="260"/>
      <c r="H812" s="260"/>
      <c r="I812" s="260"/>
      <c r="J812" s="260"/>
    </row>
    <row r="813" spans="3:10" x14ac:dyDescent="0.25">
      <c r="C813" s="260"/>
      <c r="D813" s="260"/>
      <c r="E813" s="260"/>
      <c r="F813" s="260"/>
      <c r="G813" s="260"/>
      <c r="H813" s="260"/>
      <c r="I813" s="260"/>
      <c r="J813" s="260"/>
    </row>
    <row r="814" spans="3:10" x14ac:dyDescent="0.25">
      <c r="C814" s="260"/>
      <c r="D814" s="260"/>
      <c r="E814" s="260"/>
      <c r="F814" s="260"/>
      <c r="G814" s="260"/>
      <c r="H814" s="260"/>
      <c r="I814" s="260"/>
      <c r="J814" s="260"/>
    </row>
    <row r="815" spans="3:10" x14ac:dyDescent="0.25">
      <c r="C815" s="260"/>
      <c r="D815" s="260"/>
      <c r="E815" s="260"/>
      <c r="F815" s="260"/>
      <c r="G815" s="260"/>
      <c r="H815" s="260"/>
      <c r="I815" s="260"/>
      <c r="J815" s="260"/>
    </row>
    <row r="816" spans="3:10" x14ac:dyDescent="0.25">
      <c r="C816" s="260"/>
      <c r="D816" s="260"/>
      <c r="E816" s="260"/>
      <c r="F816" s="260"/>
      <c r="G816" s="260"/>
      <c r="H816" s="260"/>
      <c r="I816" s="260"/>
      <c r="J816" s="260"/>
    </row>
    <row r="817" spans="3:10" x14ac:dyDescent="0.25">
      <c r="C817" s="260"/>
      <c r="D817" s="260"/>
      <c r="E817" s="260"/>
      <c r="F817" s="260"/>
      <c r="G817" s="260"/>
      <c r="H817" s="260"/>
      <c r="I817" s="260"/>
      <c r="J817" s="260"/>
    </row>
    <row r="818" spans="3:10" x14ac:dyDescent="0.25">
      <c r="C818" s="260"/>
      <c r="D818" s="260"/>
      <c r="E818" s="260"/>
      <c r="F818" s="260"/>
      <c r="G818" s="260"/>
      <c r="H818" s="260"/>
      <c r="I818" s="260"/>
      <c r="J818" s="260"/>
    </row>
    <row r="819" spans="3:10" x14ac:dyDescent="0.25">
      <c r="C819" s="260"/>
      <c r="D819" s="260"/>
      <c r="E819" s="260"/>
      <c r="F819" s="260"/>
      <c r="G819" s="260"/>
      <c r="H819" s="260"/>
      <c r="I819" s="260"/>
      <c r="J819" s="260"/>
    </row>
    <row r="820" spans="3:10" x14ac:dyDescent="0.25">
      <c r="C820" s="260"/>
      <c r="D820" s="260"/>
      <c r="E820" s="260"/>
      <c r="F820" s="260"/>
      <c r="G820" s="260"/>
      <c r="H820" s="260"/>
      <c r="I820" s="260"/>
      <c r="J820" s="260"/>
    </row>
    <row r="821" spans="3:10" x14ac:dyDescent="0.25">
      <c r="C821" s="260"/>
      <c r="D821" s="260"/>
      <c r="E821" s="260"/>
      <c r="F821" s="260"/>
      <c r="G821" s="260"/>
      <c r="H821" s="260"/>
      <c r="I821" s="260"/>
      <c r="J821" s="260"/>
    </row>
    <row r="822" spans="3:10" x14ac:dyDescent="0.25">
      <c r="C822" s="260"/>
      <c r="D822" s="260"/>
      <c r="E822" s="260"/>
      <c r="F822" s="260"/>
      <c r="G822" s="260"/>
      <c r="H822" s="260"/>
      <c r="I822" s="260"/>
      <c r="J822" s="260"/>
    </row>
    <row r="823" spans="3:10" x14ac:dyDescent="0.25">
      <c r="C823" s="260"/>
      <c r="D823" s="260"/>
      <c r="E823" s="260"/>
      <c r="F823" s="260"/>
      <c r="G823" s="260"/>
      <c r="H823" s="260"/>
      <c r="I823" s="260"/>
      <c r="J823" s="260"/>
    </row>
    <row r="824" spans="3:10" x14ac:dyDescent="0.25">
      <c r="C824" s="260"/>
      <c r="D824" s="260"/>
      <c r="E824" s="260"/>
      <c r="F824" s="260"/>
      <c r="G824" s="260"/>
      <c r="H824" s="260"/>
      <c r="I824" s="260"/>
      <c r="J824" s="260"/>
    </row>
    <row r="825" spans="3:10" ht="16.5" customHeight="1" x14ac:dyDescent="0.25">
      <c r="C825" s="260"/>
      <c r="D825" s="260"/>
      <c r="E825" s="260"/>
      <c r="F825" s="260"/>
      <c r="G825" s="260"/>
      <c r="H825" s="260"/>
      <c r="I825" s="260"/>
      <c r="J825" s="260"/>
    </row>
    <row r="826" spans="3:10" x14ac:dyDescent="0.25">
      <c r="C826" s="260"/>
      <c r="D826" s="260"/>
      <c r="E826" s="260"/>
      <c r="F826" s="260"/>
      <c r="G826" s="260"/>
      <c r="H826" s="260"/>
      <c r="I826" s="260"/>
      <c r="J826" s="260"/>
    </row>
    <row r="827" spans="3:10" x14ac:dyDescent="0.25">
      <c r="C827" s="260"/>
      <c r="D827" s="260"/>
      <c r="E827" s="260"/>
      <c r="F827" s="260"/>
      <c r="G827" s="260"/>
      <c r="H827" s="260"/>
      <c r="I827" s="260"/>
      <c r="J827" s="260"/>
    </row>
    <row r="828" spans="3:10" x14ac:dyDescent="0.25">
      <c r="C828" s="260"/>
      <c r="D828" s="260"/>
      <c r="E828" s="260"/>
      <c r="F828" s="260"/>
      <c r="G828" s="260"/>
      <c r="H828" s="260"/>
      <c r="I828" s="260"/>
      <c r="J828" s="260"/>
    </row>
    <row r="829" spans="3:10" x14ac:dyDescent="0.25">
      <c r="C829" s="260"/>
      <c r="D829" s="260"/>
      <c r="E829" s="260"/>
      <c r="F829" s="260"/>
      <c r="G829" s="260"/>
      <c r="H829" s="260"/>
      <c r="I829" s="260"/>
      <c r="J829" s="260"/>
    </row>
    <row r="830" spans="3:10" x14ac:dyDescent="0.25">
      <c r="C830" s="260"/>
      <c r="D830" s="260"/>
      <c r="E830" s="260"/>
      <c r="F830" s="260"/>
      <c r="G830" s="260"/>
      <c r="H830" s="260"/>
      <c r="I830" s="260"/>
      <c r="J830" s="260"/>
    </row>
    <row r="831" spans="3:10" x14ac:dyDescent="0.25">
      <c r="C831" s="260"/>
      <c r="D831" s="260"/>
      <c r="E831" s="260"/>
      <c r="F831" s="260"/>
      <c r="G831" s="260"/>
      <c r="H831" s="260"/>
      <c r="I831" s="260"/>
      <c r="J831" s="260"/>
    </row>
    <row r="832" spans="3:10" x14ac:dyDescent="0.25">
      <c r="C832" s="260"/>
      <c r="D832" s="260"/>
      <c r="E832" s="260"/>
      <c r="F832" s="260"/>
      <c r="G832" s="260"/>
      <c r="H832" s="260"/>
      <c r="I832" s="260"/>
      <c r="J832" s="260"/>
    </row>
    <row r="833" spans="3:10" x14ac:dyDescent="0.25">
      <c r="C833" s="260"/>
      <c r="D833" s="260"/>
      <c r="E833" s="260"/>
      <c r="F833" s="260"/>
      <c r="G833" s="260"/>
      <c r="H833" s="260"/>
      <c r="I833" s="260"/>
      <c r="J833" s="260"/>
    </row>
    <row r="834" spans="3:10" x14ac:dyDescent="0.25">
      <c r="C834" s="260"/>
      <c r="D834" s="260"/>
      <c r="E834" s="260"/>
      <c r="F834" s="260"/>
      <c r="G834" s="260"/>
      <c r="H834" s="260"/>
      <c r="I834" s="260"/>
      <c r="J834" s="260"/>
    </row>
    <row r="835" spans="3:10" x14ac:dyDescent="0.25">
      <c r="C835" s="260"/>
      <c r="D835" s="260"/>
      <c r="E835" s="260"/>
      <c r="F835" s="260"/>
      <c r="G835" s="260"/>
      <c r="H835" s="260"/>
      <c r="I835" s="260"/>
      <c r="J835" s="260"/>
    </row>
    <row r="836" spans="3:10" ht="15.75" customHeight="1" x14ac:dyDescent="0.25">
      <c r="C836" s="260"/>
      <c r="D836" s="260"/>
      <c r="E836" s="260"/>
      <c r="F836" s="260"/>
      <c r="G836" s="260"/>
      <c r="H836" s="260"/>
      <c r="I836" s="260"/>
      <c r="J836" s="260"/>
    </row>
    <row r="837" spans="3:10" x14ac:dyDescent="0.25">
      <c r="C837" s="260"/>
      <c r="D837" s="260"/>
      <c r="E837" s="260"/>
      <c r="F837" s="260"/>
      <c r="G837" s="260"/>
      <c r="H837" s="260"/>
      <c r="I837" s="260"/>
      <c r="J837" s="260"/>
    </row>
    <row r="838" spans="3:10" x14ac:dyDescent="0.25">
      <c r="C838" s="260"/>
      <c r="D838" s="260"/>
      <c r="E838" s="260"/>
      <c r="F838" s="260"/>
      <c r="G838" s="260"/>
      <c r="H838" s="260"/>
      <c r="I838" s="260"/>
      <c r="J838" s="260"/>
    </row>
    <row r="839" spans="3:10" x14ac:dyDescent="0.25">
      <c r="C839" s="260"/>
      <c r="D839" s="260"/>
      <c r="E839" s="260"/>
      <c r="F839" s="260"/>
      <c r="G839" s="260"/>
      <c r="H839" s="260"/>
      <c r="I839" s="260"/>
      <c r="J839" s="260"/>
    </row>
    <row r="840" spans="3:10" x14ac:dyDescent="0.25">
      <c r="C840" s="260"/>
      <c r="D840" s="260"/>
      <c r="E840" s="260"/>
      <c r="F840" s="260"/>
      <c r="G840" s="260"/>
      <c r="H840" s="260"/>
      <c r="I840" s="260"/>
      <c r="J840" s="260"/>
    </row>
    <row r="841" spans="3:10" x14ac:dyDescent="0.25">
      <c r="C841" s="260"/>
      <c r="D841" s="260"/>
      <c r="E841" s="260"/>
      <c r="F841" s="260"/>
      <c r="G841" s="260"/>
      <c r="H841" s="260"/>
      <c r="I841" s="260"/>
      <c r="J841" s="260"/>
    </row>
    <row r="842" spans="3:10" x14ac:dyDescent="0.25">
      <c r="C842" s="260"/>
      <c r="D842" s="260"/>
      <c r="E842" s="260"/>
      <c r="F842" s="260"/>
      <c r="G842" s="260"/>
      <c r="H842" s="260"/>
      <c r="I842" s="260"/>
      <c r="J842" s="260"/>
    </row>
    <row r="843" spans="3:10" x14ac:dyDescent="0.25">
      <c r="C843" s="260"/>
      <c r="D843" s="260"/>
      <c r="E843" s="260"/>
      <c r="F843" s="260"/>
      <c r="G843" s="260"/>
      <c r="H843" s="260"/>
      <c r="I843" s="260"/>
      <c r="J843" s="260"/>
    </row>
    <row r="844" spans="3:10" x14ac:dyDescent="0.25">
      <c r="C844" s="260"/>
      <c r="D844" s="260"/>
      <c r="E844" s="260"/>
      <c r="F844" s="260"/>
      <c r="G844" s="260"/>
      <c r="H844" s="260"/>
      <c r="I844" s="260"/>
      <c r="J844" s="260"/>
    </row>
    <row r="845" spans="3:10" x14ac:dyDescent="0.25">
      <c r="C845" s="260"/>
      <c r="D845" s="260"/>
      <c r="E845" s="260"/>
      <c r="F845" s="260"/>
      <c r="G845" s="260"/>
      <c r="H845" s="260"/>
      <c r="I845" s="260"/>
      <c r="J845" s="260"/>
    </row>
    <row r="846" spans="3:10" x14ac:dyDescent="0.25">
      <c r="C846" s="260"/>
      <c r="D846" s="260"/>
      <c r="E846" s="260"/>
      <c r="F846" s="260"/>
      <c r="G846" s="260"/>
      <c r="H846" s="260"/>
      <c r="I846" s="260"/>
      <c r="J846" s="260"/>
    </row>
    <row r="847" spans="3:10" x14ac:dyDescent="0.25">
      <c r="C847" s="260"/>
      <c r="D847" s="260"/>
      <c r="E847" s="260"/>
      <c r="F847" s="260"/>
      <c r="G847" s="260"/>
      <c r="H847" s="260"/>
      <c r="I847" s="260"/>
      <c r="J847" s="260"/>
    </row>
    <row r="848" spans="3:10" x14ac:dyDescent="0.25">
      <c r="C848" s="260"/>
      <c r="D848" s="260"/>
      <c r="E848" s="260"/>
      <c r="F848" s="260"/>
      <c r="G848" s="260"/>
      <c r="H848" s="260"/>
      <c r="I848" s="260"/>
      <c r="J848" s="260"/>
    </row>
    <row r="849" spans="3:10" x14ac:dyDescent="0.25">
      <c r="C849" s="260"/>
      <c r="D849" s="260"/>
      <c r="E849" s="260"/>
      <c r="F849" s="260"/>
      <c r="G849" s="260"/>
      <c r="H849" s="260"/>
      <c r="I849" s="260"/>
      <c r="J849" s="260"/>
    </row>
    <row r="850" spans="3:10" x14ac:dyDescent="0.25">
      <c r="C850" s="260"/>
      <c r="D850" s="260"/>
      <c r="E850" s="260"/>
      <c r="F850" s="260"/>
      <c r="G850" s="260"/>
      <c r="H850" s="260"/>
      <c r="I850" s="260"/>
      <c r="J850" s="260"/>
    </row>
    <row r="851" spans="3:10" x14ac:dyDescent="0.25">
      <c r="C851" s="260"/>
      <c r="D851" s="260"/>
      <c r="E851" s="260"/>
      <c r="F851" s="260"/>
      <c r="G851" s="260"/>
      <c r="H851" s="260"/>
      <c r="I851" s="260"/>
      <c r="J851" s="260"/>
    </row>
    <row r="852" spans="3:10" x14ac:dyDescent="0.25">
      <c r="C852" s="260"/>
      <c r="D852" s="260"/>
      <c r="E852" s="260"/>
      <c r="F852" s="260"/>
      <c r="G852" s="260"/>
      <c r="H852" s="260"/>
      <c r="I852" s="260"/>
      <c r="J852" s="260"/>
    </row>
    <row r="853" spans="3:10" x14ac:dyDescent="0.25">
      <c r="C853" s="260"/>
      <c r="D853" s="260"/>
      <c r="E853" s="260"/>
      <c r="F853" s="260"/>
      <c r="G853" s="260"/>
      <c r="H853" s="260"/>
      <c r="I853" s="260"/>
      <c r="J853" s="260"/>
    </row>
    <row r="854" spans="3:10" x14ac:dyDescent="0.25">
      <c r="C854" s="260"/>
      <c r="D854" s="260"/>
      <c r="E854" s="260"/>
      <c r="F854" s="260"/>
      <c r="G854" s="260"/>
      <c r="H854" s="260"/>
      <c r="I854" s="260"/>
      <c r="J854" s="260"/>
    </row>
    <row r="855" spans="3:10" x14ac:dyDescent="0.25">
      <c r="C855" s="260"/>
      <c r="D855" s="260"/>
      <c r="E855" s="260"/>
      <c r="F855" s="260"/>
      <c r="G855" s="260"/>
      <c r="H855" s="260"/>
      <c r="I855" s="260"/>
      <c r="J855" s="260"/>
    </row>
    <row r="856" spans="3:10" x14ac:dyDescent="0.25">
      <c r="C856" s="260"/>
      <c r="D856" s="260"/>
      <c r="E856" s="260"/>
      <c r="F856" s="260"/>
      <c r="G856" s="260"/>
      <c r="H856" s="260"/>
      <c r="I856" s="260"/>
      <c r="J856" s="260"/>
    </row>
    <row r="857" spans="3:10" x14ac:dyDescent="0.25">
      <c r="C857" s="260"/>
      <c r="D857" s="260"/>
      <c r="E857" s="260"/>
      <c r="F857" s="260"/>
      <c r="G857" s="260"/>
      <c r="H857" s="260"/>
      <c r="I857" s="260"/>
      <c r="J857" s="260"/>
    </row>
    <row r="858" spans="3:10" x14ac:dyDescent="0.25">
      <c r="C858" s="260"/>
      <c r="D858" s="260"/>
      <c r="E858" s="260"/>
      <c r="F858" s="260"/>
      <c r="G858" s="260"/>
      <c r="H858" s="260"/>
      <c r="I858" s="260"/>
      <c r="J858" s="260"/>
    </row>
    <row r="859" spans="3:10" ht="16.5" customHeight="1" x14ac:dyDescent="0.25">
      <c r="C859" s="260"/>
      <c r="D859" s="260"/>
      <c r="E859" s="260"/>
      <c r="F859" s="260"/>
      <c r="G859" s="260"/>
      <c r="H859" s="260"/>
      <c r="I859" s="260"/>
      <c r="J859" s="260"/>
    </row>
    <row r="860" spans="3:10" x14ac:dyDescent="0.25">
      <c r="C860" s="260"/>
      <c r="D860" s="260"/>
      <c r="E860" s="260"/>
      <c r="F860" s="260"/>
      <c r="G860" s="260"/>
      <c r="H860" s="260"/>
      <c r="I860" s="260"/>
      <c r="J860" s="260"/>
    </row>
    <row r="861" spans="3:10" x14ac:dyDescent="0.25">
      <c r="C861" s="260"/>
      <c r="D861" s="260"/>
      <c r="E861" s="260"/>
      <c r="F861" s="260"/>
      <c r="G861" s="260"/>
      <c r="H861" s="260"/>
      <c r="I861" s="260"/>
      <c r="J861" s="260"/>
    </row>
    <row r="862" spans="3:10" x14ac:dyDescent="0.25">
      <c r="C862" s="260"/>
      <c r="D862" s="260"/>
      <c r="E862" s="260"/>
      <c r="F862" s="260"/>
      <c r="G862" s="260"/>
      <c r="H862" s="260"/>
      <c r="I862" s="260"/>
      <c r="J862" s="260"/>
    </row>
    <row r="863" spans="3:10" x14ac:dyDescent="0.25">
      <c r="C863" s="260"/>
      <c r="D863" s="260"/>
      <c r="E863" s="260"/>
      <c r="F863" s="260"/>
      <c r="G863" s="260"/>
      <c r="H863" s="260"/>
      <c r="I863" s="260"/>
      <c r="J863" s="260"/>
    </row>
    <row r="864" spans="3:10" x14ac:dyDescent="0.25">
      <c r="C864" s="260"/>
      <c r="D864" s="260"/>
      <c r="E864" s="260"/>
      <c r="F864" s="260"/>
      <c r="G864" s="260"/>
      <c r="H864" s="260"/>
      <c r="I864" s="260"/>
      <c r="J864" s="260"/>
    </row>
  </sheetData>
  <sheetProtection algorithmName="SHA-512" hashValue="Lo1Utb1U6tPVIaqH7EapgzOwBw5IeWwMzFdSuaeCarUdbtqdlDEDDHj0a9p+GyYP/D+XDZc24H8GNfxKvhAltA==" saltValue="SHEY7as4Ue0EYo6JBizDww==" spinCount="100000" sheet="1" objects="1" scenarios="1"/>
  <pageMargins left="0.70866141732283472" right="0.6875" top="0.86614173228346458" bottom="0.78740157480314965" header="0.31496062992125984" footer="0.31496062992125984"/>
  <pageSetup paperSize="9" orientation="landscape" r:id="rId1"/>
  <headerFooter>
    <oddHeader>&amp;L&amp;"-,Tučné"Statutární město
Frýdek-Místek&amp;C&amp;"-,Tučné"Závazné ukazatele rozpočtu roku 2020 po 5. změně a po RO RM č. 1 - 205
&amp;"-,Obyčejné"Zpracovala: Ing. Pavla Homolková, Finanční odbor
&amp;RStrana &amp;P
celkem 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ZU schvál.rozpočtu po RO 1-205</vt:lpstr>
      <vt:lpstr>'ZU schvál.rozpočtu po RO 1-205'!__DdeLink__9289_5144441</vt:lpstr>
      <vt:lpstr>'ZU schvál.rozpočtu po RO 1-205'!Názvy_tisku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OBORNÁ</dc:creator>
  <cp:lastModifiedBy>Ilona OBORNÁ</cp:lastModifiedBy>
  <dcterms:created xsi:type="dcterms:W3CDTF">2021-02-11T08:51:10Z</dcterms:created>
  <dcterms:modified xsi:type="dcterms:W3CDTF">2021-02-11T09:06:46Z</dcterms:modified>
</cp:coreProperties>
</file>