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1454\Documents\Dokumenty\Závazné ukazatele\Záv. ukazatele 2022\"/>
    </mc:Choice>
  </mc:AlternateContent>
  <workbookProtection workbookAlgorithmName="SHA-512" workbookHashValue="MEn4oFKL99qSVXd/7KsDXPVmgVS2EcznQ5js4In2ba3mj8qzVZl7XGZxP9y4g3CxQC/LCrvp48sP1GuBvHnxnw==" workbookSaltValue="hPQ3VTQDMNtEO0a8NjGfPA==" workbookSpinCount="100000" lockStructure="1"/>
  <bookViews>
    <workbookView xWindow="0" yWindow="0" windowWidth="28800" windowHeight="12435"/>
  </bookViews>
  <sheets>
    <sheet name="ZU po 2. změně a RO RM 1-117" sheetId="1" r:id="rId1"/>
  </sheets>
  <definedNames>
    <definedName name="__DdeLink__9289_5144441" localSheetId="0">'ZU po 2. změně a RO RM 1-117'!#REF!</definedName>
    <definedName name="_xlnm.Print_Titles" localSheetId="0">'ZU po 2. změně a RO RM 1-117'!$1:$2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2" i="1" l="1"/>
  <c r="J333" i="1"/>
  <c r="J260" i="1"/>
  <c r="J247" i="1"/>
  <c r="J224" i="1" l="1"/>
  <c r="J141" i="1"/>
  <c r="K141" i="1"/>
  <c r="K140" i="1"/>
  <c r="J140" i="1"/>
  <c r="J149" i="1"/>
  <c r="J67" i="1"/>
  <c r="J35" i="1"/>
  <c r="K35" i="1"/>
  <c r="J49" i="1"/>
  <c r="J8" i="1"/>
  <c r="J353" i="1" l="1"/>
  <c r="J341" i="1"/>
  <c r="J334" i="1"/>
  <c r="J312" i="1"/>
  <c r="J293" i="1"/>
  <c r="J287" i="1"/>
  <c r="J283" i="1"/>
  <c r="J282" i="1"/>
  <c r="J286" i="1"/>
  <c r="J257" i="1" l="1"/>
  <c r="J152" i="1"/>
  <c r="K120" i="1"/>
  <c r="J120" i="1"/>
  <c r="K124" i="1"/>
  <c r="J124" i="1"/>
  <c r="K113" i="1"/>
  <c r="J113" i="1"/>
  <c r="K103" i="1"/>
  <c r="J103" i="1"/>
  <c r="J68" i="1"/>
  <c r="J70" i="1"/>
  <c r="J53" i="1"/>
  <c r="J33" i="1"/>
  <c r="K25" i="1"/>
  <c r="J23" i="1"/>
  <c r="I23" i="1"/>
  <c r="C23" i="1"/>
  <c r="K26" i="1"/>
  <c r="J25" i="1"/>
  <c r="J6" i="1"/>
  <c r="J376" i="1" l="1"/>
  <c r="I376" i="1"/>
  <c r="H376" i="1"/>
  <c r="K376" i="1" s="1"/>
  <c r="G376" i="1"/>
  <c r="F376" i="1"/>
  <c r="D376" i="1"/>
  <c r="C376" i="1"/>
  <c r="K375" i="1"/>
  <c r="E375" i="1"/>
  <c r="E376" i="1" s="1"/>
  <c r="J371" i="1"/>
  <c r="I371" i="1"/>
  <c r="G371" i="1"/>
  <c r="F371" i="1"/>
  <c r="D371" i="1"/>
  <c r="C371" i="1"/>
  <c r="K370" i="1"/>
  <c r="E370" i="1"/>
  <c r="H370" i="1" s="1"/>
  <c r="H369" i="1"/>
  <c r="K369" i="1" s="1"/>
  <c r="E369" i="1"/>
  <c r="K368" i="1"/>
  <c r="E368" i="1"/>
  <c r="H368" i="1" s="1"/>
  <c r="H367" i="1"/>
  <c r="K367" i="1" s="1"/>
  <c r="E367" i="1"/>
  <c r="K366" i="1"/>
  <c r="E366" i="1"/>
  <c r="H366" i="1" s="1"/>
  <c r="H365" i="1"/>
  <c r="K365" i="1" s="1"/>
  <c r="E365" i="1"/>
  <c r="K364" i="1"/>
  <c r="E364" i="1"/>
  <c r="H364" i="1" s="1"/>
  <c r="H363" i="1"/>
  <c r="E363" i="1"/>
  <c r="E358" i="1"/>
  <c r="H358" i="1" s="1"/>
  <c r="K358" i="1" s="1"/>
  <c r="J357" i="1"/>
  <c r="G357" i="1"/>
  <c r="G354" i="1" s="1"/>
  <c r="E357" i="1"/>
  <c r="K356" i="1"/>
  <c r="E356" i="1"/>
  <c r="H356" i="1" s="1"/>
  <c r="J354" i="1"/>
  <c r="I354" i="1"/>
  <c r="F354" i="1"/>
  <c r="D354" i="1"/>
  <c r="C354" i="1"/>
  <c r="G353" i="1"/>
  <c r="E353" i="1"/>
  <c r="H353" i="1" s="1"/>
  <c r="D353" i="1"/>
  <c r="K352" i="1"/>
  <c r="E352" i="1"/>
  <c r="H352" i="1" s="1"/>
  <c r="J350" i="1"/>
  <c r="I350" i="1"/>
  <c r="G350" i="1"/>
  <c r="F350" i="1"/>
  <c r="D350" i="1"/>
  <c r="C350" i="1"/>
  <c r="E350" i="1" s="1"/>
  <c r="E349" i="1"/>
  <c r="H349" i="1" s="1"/>
  <c r="K349" i="1" s="1"/>
  <c r="H348" i="1"/>
  <c r="E348" i="1"/>
  <c r="J346" i="1"/>
  <c r="I346" i="1"/>
  <c r="G346" i="1"/>
  <c r="F346" i="1"/>
  <c r="D346" i="1"/>
  <c r="C346" i="1"/>
  <c r="E346" i="1" s="1"/>
  <c r="H345" i="1"/>
  <c r="K345" i="1" s="1"/>
  <c r="E345" i="1"/>
  <c r="K344" i="1"/>
  <c r="H343" i="1"/>
  <c r="K343" i="1" s="1"/>
  <c r="G342" i="1"/>
  <c r="E342" i="1"/>
  <c r="H342" i="1" s="1"/>
  <c r="K342" i="1" s="1"/>
  <c r="J337" i="1"/>
  <c r="G341" i="1"/>
  <c r="E341" i="1"/>
  <c r="H341" i="1" s="1"/>
  <c r="K341" i="1" s="1"/>
  <c r="E340" i="1"/>
  <c r="H340" i="1" s="1"/>
  <c r="K340" i="1" s="1"/>
  <c r="H339" i="1"/>
  <c r="E339" i="1"/>
  <c r="I337" i="1"/>
  <c r="G337" i="1"/>
  <c r="F337" i="1"/>
  <c r="D337" i="1"/>
  <c r="C337" i="1"/>
  <c r="E337" i="1" s="1"/>
  <c r="H336" i="1"/>
  <c r="K336" i="1" s="1"/>
  <c r="E336" i="1"/>
  <c r="K335" i="1"/>
  <c r="E335" i="1"/>
  <c r="H335" i="1" s="1"/>
  <c r="H334" i="1"/>
  <c r="K334" i="1" s="1"/>
  <c r="E334" i="1"/>
  <c r="G333" i="1"/>
  <c r="E333" i="1"/>
  <c r="H333" i="1" s="1"/>
  <c r="K333" i="1" s="1"/>
  <c r="D333" i="1"/>
  <c r="K332" i="1"/>
  <c r="E332" i="1"/>
  <c r="H332" i="1" s="1"/>
  <c r="D332" i="1"/>
  <c r="J330" i="1"/>
  <c r="I330" i="1"/>
  <c r="G330" i="1"/>
  <c r="F330" i="1"/>
  <c r="D330" i="1"/>
  <c r="C330" i="1"/>
  <c r="E330" i="1" s="1"/>
  <c r="H329" i="1"/>
  <c r="K329" i="1" s="1"/>
  <c r="E329" i="1"/>
  <c r="E328" i="1"/>
  <c r="H328" i="1" s="1"/>
  <c r="K328" i="1" s="1"/>
  <c r="H327" i="1"/>
  <c r="E327" i="1"/>
  <c r="J325" i="1"/>
  <c r="I325" i="1"/>
  <c r="G325" i="1"/>
  <c r="F325" i="1"/>
  <c r="D325" i="1"/>
  <c r="C325" i="1"/>
  <c r="E325" i="1" s="1"/>
  <c r="H324" i="1"/>
  <c r="K324" i="1" s="1"/>
  <c r="E324" i="1"/>
  <c r="E323" i="1"/>
  <c r="H323" i="1" s="1"/>
  <c r="J321" i="1"/>
  <c r="I321" i="1"/>
  <c r="G321" i="1"/>
  <c r="F321" i="1"/>
  <c r="D321" i="1"/>
  <c r="C321" i="1"/>
  <c r="K320" i="1"/>
  <c r="E320" i="1"/>
  <c r="H320" i="1" s="1"/>
  <c r="H319" i="1"/>
  <c r="K319" i="1" s="1"/>
  <c r="E319" i="1"/>
  <c r="K318" i="1"/>
  <c r="E318" i="1"/>
  <c r="H318" i="1" s="1"/>
  <c r="G317" i="1"/>
  <c r="E317" i="1"/>
  <c r="H317" i="1" s="1"/>
  <c r="K317" i="1" s="1"/>
  <c r="H316" i="1"/>
  <c r="E316" i="1"/>
  <c r="J314" i="1"/>
  <c r="I314" i="1"/>
  <c r="G314" i="1"/>
  <c r="F314" i="1"/>
  <c r="D314" i="1"/>
  <c r="C314" i="1"/>
  <c r="E314" i="1" s="1"/>
  <c r="H313" i="1"/>
  <c r="K313" i="1" s="1"/>
  <c r="E313" i="1"/>
  <c r="G312" i="1"/>
  <c r="E312" i="1"/>
  <c r="H312" i="1" s="1"/>
  <c r="K312" i="1" s="1"/>
  <c r="H311" i="1"/>
  <c r="E311" i="1"/>
  <c r="J309" i="1"/>
  <c r="I309" i="1"/>
  <c r="G309" i="1"/>
  <c r="F309" i="1"/>
  <c r="D309" i="1"/>
  <c r="C309" i="1"/>
  <c r="E309" i="1" s="1"/>
  <c r="H308" i="1"/>
  <c r="K308" i="1" s="1"/>
  <c r="E308" i="1"/>
  <c r="K307" i="1"/>
  <c r="H307" i="1"/>
  <c r="K306" i="1"/>
  <c r="H306" i="1"/>
  <c r="K305" i="1"/>
  <c r="H304" i="1"/>
  <c r="K304" i="1" s="1"/>
  <c r="H303" i="1"/>
  <c r="K303" i="1" s="1"/>
  <c r="G302" i="1"/>
  <c r="E302" i="1"/>
  <c r="H302" i="1" s="1"/>
  <c r="K302" i="1" s="1"/>
  <c r="D302" i="1"/>
  <c r="E301" i="1"/>
  <c r="H301" i="1" s="1"/>
  <c r="J299" i="1"/>
  <c r="I299" i="1"/>
  <c r="G299" i="1"/>
  <c r="F299" i="1"/>
  <c r="D299" i="1"/>
  <c r="C299" i="1"/>
  <c r="K298" i="1"/>
  <c r="E298" i="1"/>
  <c r="H298" i="1" s="1"/>
  <c r="H297" i="1"/>
  <c r="E297" i="1"/>
  <c r="J295" i="1"/>
  <c r="I295" i="1"/>
  <c r="G295" i="1"/>
  <c r="F295" i="1"/>
  <c r="D295" i="1"/>
  <c r="C295" i="1"/>
  <c r="E295" i="1" s="1"/>
  <c r="H294" i="1"/>
  <c r="K294" i="1" s="1"/>
  <c r="D294" i="1"/>
  <c r="E294" i="1" s="1"/>
  <c r="G293" i="1"/>
  <c r="D293" i="1"/>
  <c r="E293" i="1" s="1"/>
  <c r="H293" i="1" s="1"/>
  <c r="K293" i="1" s="1"/>
  <c r="E292" i="1"/>
  <c r="H292" i="1" s="1"/>
  <c r="K292" i="1" s="1"/>
  <c r="J290" i="1"/>
  <c r="I290" i="1"/>
  <c r="G290" i="1"/>
  <c r="F290" i="1"/>
  <c r="D290" i="1"/>
  <c r="C290" i="1"/>
  <c r="K289" i="1"/>
  <c r="E289" i="1"/>
  <c r="H289" i="1" s="1"/>
  <c r="H288" i="1"/>
  <c r="K288" i="1" s="1"/>
  <c r="H287" i="1"/>
  <c r="K287" i="1" s="1"/>
  <c r="E286" i="1"/>
  <c r="H286" i="1" s="1"/>
  <c r="J285" i="1"/>
  <c r="E285" i="1"/>
  <c r="H285" i="1" s="1"/>
  <c r="J284" i="1"/>
  <c r="J280" i="1" s="1"/>
  <c r="G284" i="1"/>
  <c r="E284" i="1"/>
  <c r="H284" i="1" s="1"/>
  <c r="K284" i="1" s="1"/>
  <c r="H283" i="1"/>
  <c r="K283" i="1" s="1"/>
  <c r="E283" i="1"/>
  <c r="G282" i="1"/>
  <c r="E282" i="1"/>
  <c r="I280" i="1"/>
  <c r="G280" i="1"/>
  <c r="F280" i="1"/>
  <c r="D280" i="1"/>
  <c r="C280" i="1"/>
  <c r="E280" i="1" s="1"/>
  <c r="H279" i="1"/>
  <c r="K279" i="1" s="1"/>
  <c r="E279" i="1"/>
  <c r="J278" i="1"/>
  <c r="H278" i="1"/>
  <c r="K278" i="1" s="1"/>
  <c r="E278" i="1"/>
  <c r="E277" i="1"/>
  <c r="H277" i="1" s="1"/>
  <c r="K277" i="1" s="1"/>
  <c r="H276" i="1"/>
  <c r="E276" i="1"/>
  <c r="J274" i="1"/>
  <c r="I274" i="1"/>
  <c r="G274" i="1"/>
  <c r="F274" i="1"/>
  <c r="D274" i="1"/>
  <c r="C274" i="1"/>
  <c r="E274" i="1" s="1"/>
  <c r="H273" i="1"/>
  <c r="K273" i="1" s="1"/>
  <c r="E273" i="1"/>
  <c r="E272" i="1"/>
  <c r="H272" i="1" s="1"/>
  <c r="K272" i="1" s="1"/>
  <c r="J270" i="1"/>
  <c r="I270" i="1"/>
  <c r="G270" i="1"/>
  <c r="F270" i="1"/>
  <c r="D270" i="1"/>
  <c r="D359" i="1" s="1"/>
  <c r="C270" i="1"/>
  <c r="J266" i="1"/>
  <c r="G266" i="1"/>
  <c r="F266" i="1"/>
  <c r="E266" i="1"/>
  <c r="H266" i="1" s="1"/>
  <c r="K266" i="1" s="1"/>
  <c r="K265" i="1"/>
  <c r="K264" i="1"/>
  <c r="G264" i="1"/>
  <c r="H264" i="1" s="1"/>
  <c r="J263" i="1"/>
  <c r="K263" i="1" s="1"/>
  <c r="H262" i="1"/>
  <c r="K262" i="1" s="1"/>
  <c r="E262" i="1"/>
  <c r="E261" i="1"/>
  <c r="H261" i="1" s="1"/>
  <c r="K261" i="1" s="1"/>
  <c r="G260" i="1"/>
  <c r="E260" i="1"/>
  <c r="I258" i="1"/>
  <c r="G258" i="1"/>
  <c r="F258" i="1"/>
  <c r="D258" i="1"/>
  <c r="C258" i="1"/>
  <c r="E258" i="1" s="1"/>
  <c r="G257" i="1"/>
  <c r="G253" i="1" s="1"/>
  <c r="D257" i="1"/>
  <c r="E257" i="1" s="1"/>
  <c r="G256" i="1"/>
  <c r="E256" i="1"/>
  <c r="H256" i="1" s="1"/>
  <c r="K256" i="1" s="1"/>
  <c r="G255" i="1"/>
  <c r="E255" i="1"/>
  <c r="H255" i="1" s="1"/>
  <c r="J253" i="1"/>
  <c r="I253" i="1"/>
  <c r="F253" i="1"/>
  <c r="D253" i="1"/>
  <c r="C253" i="1"/>
  <c r="K252" i="1"/>
  <c r="E252" i="1"/>
  <c r="H252" i="1" s="1"/>
  <c r="H251" i="1"/>
  <c r="K251" i="1" s="1"/>
  <c r="E251" i="1"/>
  <c r="K250" i="1"/>
  <c r="E250" i="1"/>
  <c r="H250" i="1" s="1"/>
  <c r="J248" i="1"/>
  <c r="I248" i="1"/>
  <c r="H248" i="1"/>
  <c r="K248" i="1" s="1"/>
  <c r="G248" i="1"/>
  <c r="F248" i="1"/>
  <c r="D248" i="1"/>
  <c r="C248" i="1"/>
  <c r="E248" i="1" s="1"/>
  <c r="G247" i="1"/>
  <c r="E247" i="1"/>
  <c r="H247" i="1" s="1"/>
  <c r="K247" i="1" s="1"/>
  <c r="J246" i="1"/>
  <c r="K246" i="1" s="1"/>
  <c r="J245" i="1"/>
  <c r="K245" i="1" s="1"/>
  <c r="J244" i="1"/>
  <c r="K244" i="1" s="1"/>
  <c r="J243" i="1"/>
  <c r="K243" i="1" s="1"/>
  <c r="H242" i="1"/>
  <c r="K242" i="1" s="1"/>
  <c r="E242" i="1"/>
  <c r="K241" i="1"/>
  <c r="E241" i="1"/>
  <c r="H241" i="1" s="1"/>
  <c r="H240" i="1"/>
  <c r="K240" i="1" s="1"/>
  <c r="E240" i="1"/>
  <c r="K239" i="1"/>
  <c r="E239" i="1"/>
  <c r="H239" i="1" s="1"/>
  <c r="H238" i="1"/>
  <c r="K238" i="1" s="1"/>
  <c r="E238" i="1"/>
  <c r="K237" i="1"/>
  <c r="E237" i="1"/>
  <c r="H237" i="1" s="1"/>
  <c r="H236" i="1"/>
  <c r="K236" i="1" s="1"/>
  <c r="E236" i="1"/>
  <c r="K235" i="1"/>
  <c r="E235" i="1"/>
  <c r="H235" i="1" s="1"/>
  <c r="H234" i="1"/>
  <c r="K234" i="1" s="1"/>
  <c r="E234" i="1"/>
  <c r="K233" i="1"/>
  <c r="E233" i="1"/>
  <c r="H233" i="1" s="1"/>
  <c r="J232" i="1"/>
  <c r="H231" i="1"/>
  <c r="K231" i="1" s="1"/>
  <c r="E231" i="1"/>
  <c r="E230" i="1"/>
  <c r="H230" i="1" s="1"/>
  <c r="K230" i="1" s="1"/>
  <c r="H229" i="1"/>
  <c r="K229" i="1" s="1"/>
  <c r="E229" i="1"/>
  <c r="E228" i="1"/>
  <c r="H228" i="1" s="1"/>
  <c r="K228" i="1" s="1"/>
  <c r="H227" i="1"/>
  <c r="E227" i="1"/>
  <c r="I225" i="1"/>
  <c r="G225" i="1"/>
  <c r="F225" i="1"/>
  <c r="D225" i="1"/>
  <c r="C225" i="1"/>
  <c r="E225" i="1" s="1"/>
  <c r="J221" i="1"/>
  <c r="G224" i="1"/>
  <c r="D224" i="1"/>
  <c r="H223" i="1"/>
  <c r="E223" i="1"/>
  <c r="I221" i="1"/>
  <c r="G221" i="1"/>
  <c r="F221" i="1"/>
  <c r="C221" i="1"/>
  <c r="G220" i="1"/>
  <c r="E220" i="1"/>
  <c r="H220" i="1" s="1"/>
  <c r="K220" i="1" s="1"/>
  <c r="D220" i="1"/>
  <c r="K219" i="1"/>
  <c r="H218" i="1"/>
  <c r="K218" i="1" s="1"/>
  <c r="H217" i="1"/>
  <c r="K217" i="1" s="1"/>
  <c r="E217" i="1"/>
  <c r="E216" i="1"/>
  <c r="H216" i="1" s="1"/>
  <c r="K216" i="1" s="1"/>
  <c r="H215" i="1"/>
  <c r="K215" i="1" s="1"/>
  <c r="E215" i="1"/>
  <c r="E214" i="1"/>
  <c r="H214" i="1" s="1"/>
  <c r="K214" i="1" s="1"/>
  <c r="H213" i="1"/>
  <c r="K213" i="1" s="1"/>
  <c r="E213" i="1"/>
  <c r="K212" i="1"/>
  <c r="H212" i="1"/>
  <c r="K211" i="1"/>
  <c r="H211" i="1"/>
  <c r="G210" i="1"/>
  <c r="H210" i="1" s="1"/>
  <c r="K210" i="1" s="1"/>
  <c r="H209" i="1"/>
  <c r="K209" i="1" s="1"/>
  <c r="E209" i="1"/>
  <c r="E208" i="1"/>
  <c r="H208" i="1" s="1"/>
  <c r="K208" i="1" s="1"/>
  <c r="H207" i="1"/>
  <c r="K207" i="1" s="1"/>
  <c r="G207" i="1"/>
  <c r="G206" i="1"/>
  <c r="H206" i="1" s="1"/>
  <c r="K206" i="1" s="1"/>
  <c r="H205" i="1"/>
  <c r="K205" i="1" s="1"/>
  <c r="E205" i="1"/>
  <c r="G204" i="1"/>
  <c r="G176" i="1" s="1"/>
  <c r="E204" i="1"/>
  <c r="K203" i="1"/>
  <c r="E203" i="1"/>
  <c r="H203" i="1" s="1"/>
  <c r="H202" i="1"/>
  <c r="K202" i="1" s="1"/>
  <c r="E202" i="1"/>
  <c r="K201" i="1"/>
  <c r="E201" i="1"/>
  <c r="H201" i="1" s="1"/>
  <c r="H200" i="1"/>
  <c r="K200" i="1" s="1"/>
  <c r="E200" i="1"/>
  <c r="K199" i="1"/>
  <c r="E199" i="1"/>
  <c r="H199" i="1" s="1"/>
  <c r="H198" i="1"/>
  <c r="K198" i="1" s="1"/>
  <c r="E198" i="1"/>
  <c r="K197" i="1"/>
  <c r="E197" i="1"/>
  <c r="H197" i="1" s="1"/>
  <c r="H196" i="1"/>
  <c r="K196" i="1" s="1"/>
  <c r="E196" i="1"/>
  <c r="K195" i="1"/>
  <c r="E195" i="1"/>
  <c r="H195" i="1" s="1"/>
  <c r="H194" i="1"/>
  <c r="K194" i="1" s="1"/>
  <c r="E194" i="1"/>
  <c r="K193" i="1"/>
  <c r="G193" i="1"/>
  <c r="H193" i="1" s="1"/>
  <c r="H192" i="1"/>
  <c r="K192" i="1" s="1"/>
  <c r="E192" i="1"/>
  <c r="K191" i="1"/>
  <c r="H191" i="1"/>
  <c r="K190" i="1"/>
  <c r="E190" i="1"/>
  <c r="H190" i="1" s="1"/>
  <c r="H189" i="1"/>
  <c r="K189" i="1" s="1"/>
  <c r="G189" i="1"/>
  <c r="K188" i="1"/>
  <c r="E188" i="1"/>
  <c r="H188" i="1" s="1"/>
  <c r="H187" i="1"/>
  <c r="K187" i="1" s="1"/>
  <c r="G187" i="1"/>
  <c r="K186" i="1"/>
  <c r="E186" i="1"/>
  <c r="H186" i="1" s="1"/>
  <c r="H185" i="1"/>
  <c r="K185" i="1" s="1"/>
  <c r="E185" i="1"/>
  <c r="K184" i="1"/>
  <c r="H184" i="1"/>
  <c r="K183" i="1"/>
  <c r="G183" i="1"/>
  <c r="H183" i="1" s="1"/>
  <c r="H182" i="1"/>
  <c r="K182" i="1" s="1"/>
  <c r="E182" i="1"/>
  <c r="K181" i="1"/>
  <c r="E181" i="1"/>
  <c r="H181" i="1" s="1"/>
  <c r="H180" i="1"/>
  <c r="K180" i="1" s="1"/>
  <c r="E180" i="1"/>
  <c r="K179" i="1"/>
  <c r="E179" i="1"/>
  <c r="H179" i="1" s="1"/>
  <c r="J178" i="1"/>
  <c r="J176" i="1" s="1"/>
  <c r="G178" i="1"/>
  <c r="E178" i="1"/>
  <c r="H178" i="1" s="1"/>
  <c r="I176" i="1"/>
  <c r="F176" i="1"/>
  <c r="D176" i="1"/>
  <c r="C176" i="1"/>
  <c r="E176" i="1" s="1"/>
  <c r="H175" i="1"/>
  <c r="K175" i="1" s="1"/>
  <c r="E175" i="1"/>
  <c r="G174" i="1"/>
  <c r="G172" i="1" s="1"/>
  <c r="D174" i="1"/>
  <c r="E174" i="1" s="1"/>
  <c r="H174" i="1" s="1"/>
  <c r="H172" i="1" s="1"/>
  <c r="K172" i="1" s="1"/>
  <c r="J172" i="1"/>
  <c r="I172" i="1"/>
  <c r="F172" i="1"/>
  <c r="C172" i="1"/>
  <c r="G171" i="1"/>
  <c r="G162" i="1" s="1"/>
  <c r="E171" i="1"/>
  <c r="K170" i="1"/>
  <c r="E170" i="1"/>
  <c r="H170" i="1" s="1"/>
  <c r="H169" i="1"/>
  <c r="K169" i="1" s="1"/>
  <c r="E169" i="1"/>
  <c r="K168" i="1"/>
  <c r="E168" i="1"/>
  <c r="H168" i="1" s="1"/>
  <c r="H167" i="1"/>
  <c r="K167" i="1" s="1"/>
  <c r="E167" i="1"/>
  <c r="K166" i="1"/>
  <c r="E166" i="1"/>
  <c r="H166" i="1" s="1"/>
  <c r="H165" i="1"/>
  <c r="K165" i="1" s="1"/>
  <c r="E165" i="1"/>
  <c r="E164" i="1"/>
  <c r="H164" i="1" s="1"/>
  <c r="J162" i="1"/>
  <c r="I162" i="1"/>
  <c r="F162" i="1"/>
  <c r="D162" i="1"/>
  <c r="C162" i="1"/>
  <c r="E162" i="1" s="1"/>
  <c r="E161" i="1"/>
  <c r="H161" i="1" s="1"/>
  <c r="K161" i="1" s="1"/>
  <c r="H160" i="1"/>
  <c r="K160" i="1" s="1"/>
  <c r="E160" i="1"/>
  <c r="E159" i="1"/>
  <c r="H159" i="1" s="1"/>
  <c r="K159" i="1" s="1"/>
  <c r="H158" i="1"/>
  <c r="K158" i="1" s="1"/>
  <c r="E158" i="1"/>
  <c r="E157" i="1"/>
  <c r="H157" i="1" s="1"/>
  <c r="K157" i="1" s="1"/>
  <c r="H156" i="1"/>
  <c r="K156" i="1" s="1"/>
  <c r="E156" i="1"/>
  <c r="G155" i="1"/>
  <c r="G150" i="1" s="1"/>
  <c r="E155" i="1"/>
  <c r="H155" i="1" s="1"/>
  <c r="K155" i="1" s="1"/>
  <c r="E154" i="1"/>
  <c r="H154" i="1" s="1"/>
  <c r="K154" i="1" s="1"/>
  <c r="H153" i="1"/>
  <c r="K153" i="1" s="1"/>
  <c r="E153" i="1"/>
  <c r="G152" i="1"/>
  <c r="E152" i="1"/>
  <c r="H152" i="1" s="1"/>
  <c r="J150" i="1"/>
  <c r="I150" i="1"/>
  <c r="F150" i="1"/>
  <c r="D150" i="1"/>
  <c r="C150" i="1"/>
  <c r="E150" i="1" s="1"/>
  <c r="G149" i="1"/>
  <c r="E149" i="1"/>
  <c r="H149" i="1" s="1"/>
  <c r="K149" i="1" s="1"/>
  <c r="D149" i="1"/>
  <c r="E148" i="1"/>
  <c r="H148" i="1" s="1"/>
  <c r="K148" i="1" s="1"/>
  <c r="D148" i="1"/>
  <c r="K147" i="1"/>
  <c r="H146" i="1"/>
  <c r="K146" i="1" s="1"/>
  <c r="E146" i="1"/>
  <c r="E145" i="1"/>
  <c r="H145" i="1" s="1"/>
  <c r="K145" i="1" s="1"/>
  <c r="E144" i="1"/>
  <c r="H144" i="1" s="1"/>
  <c r="K144" i="1" s="1"/>
  <c r="E143" i="1"/>
  <c r="H143" i="1" s="1"/>
  <c r="K143" i="1" s="1"/>
  <c r="E142" i="1"/>
  <c r="H142" i="1" s="1"/>
  <c r="K142" i="1" s="1"/>
  <c r="E139" i="1"/>
  <c r="H139" i="1" s="1"/>
  <c r="K139" i="1" s="1"/>
  <c r="E138" i="1"/>
  <c r="H138" i="1" s="1"/>
  <c r="K138" i="1" s="1"/>
  <c r="E137" i="1"/>
  <c r="H137" i="1" s="1"/>
  <c r="K137" i="1" s="1"/>
  <c r="E136" i="1"/>
  <c r="H136" i="1" s="1"/>
  <c r="K136" i="1" s="1"/>
  <c r="E135" i="1"/>
  <c r="H135" i="1" s="1"/>
  <c r="K135" i="1" s="1"/>
  <c r="E134" i="1"/>
  <c r="H134" i="1" s="1"/>
  <c r="K134" i="1" s="1"/>
  <c r="E133" i="1"/>
  <c r="H133" i="1" s="1"/>
  <c r="K133" i="1" s="1"/>
  <c r="E132" i="1"/>
  <c r="H132" i="1" s="1"/>
  <c r="K132" i="1" s="1"/>
  <c r="E131" i="1"/>
  <c r="H131" i="1" s="1"/>
  <c r="K131" i="1" s="1"/>
  <c r="E130" i="1"/>
  <c r="H130" i="1" s="1"/>
  <c r="K130" i="1" s="1"/>
  <c r="E129" i="1"/>
  <c r="H129" i="1" s="1"/>
  <c r="K129" i="1" s="1"/>
  <c r="H128" i="1"/>
  <c r="K128" i="1" s="1"/>
  <c r="H127" i="1"/>
  <c r="K127" i="1" s="1"/>
  <c r="E126" i="1"/>
  <c r="H126" i="1" s="1"/>
  <c r="K126" i="1" s="1"/>
  <c r="K125" i="1"/>
  <c r="J125" i="1"/>
  <c r="G123" i="1"/>
  <c r="H123" i="1" s="1"/>
  <c r="K123" i="1" s="1"/>
  <c r="E122" i="1"/>
  <c r="H122" i="1" s="1"/>
  <c r="K122" i="1" s="1"/>
  <c r="E121" i="1"/>
  <c r="H121" i="1" s="1"/>
  <c r="K121" i="1" s="1"/>
  <c r="H119" i="1"/>
  <c r="K119" i="1" s="1"/>
  <c r="E118" i="1"/>
  <c r="H118" i="1" s="1"/>
  <c r="K118" i="1" s="1"/>
  <c r="E117" i="1"/>
  <c r="H117" i="1" s="1"/>
  <c r="K117" i="1" s="1"/>
  <c r="J116" i="1"/>
  <c r="E116" i="1"/>
  <c r="H116" i="1" s="1"/>
  <c r="K116" i="1" s="1"/>
  <c r="E115" i="1"/>
  <c r="H115" i="1" s="1"/>
  <c r="K115" i="1" s="1"/>
  <c r="E114" i="1"/>
  <c r="H114" i="1" s="1"/>
  <c r="K114" i="1" s="1"/>
  <c r="E112" i="1"/>
  <c r="H112" i="1" s="1"/>
  <c r="K112" i="1" s="1"/>
  <c r="E111" i="1"/>
  <c r="H111" i="1" s="1"/>
  <c r="K111" i="1" s="1"/>
  <c r="E110" i="1"/>
  <c r="H110" i="1" s="1"/>
  <c r="K110" i="1" s="1"/>
  <c r="E109" i="1"/>
  <c r="H109" i="1" s="1"/>
  <c r="K109" i="1" s="1"/>
  <c r="H108" i="1"/>
  <c r="K108" i="1" s="1"/>
  <c r="E108" i="1"/>
  <c r="K107" i="1"/>
  <c r="E106" i="1"/>
  <c r="H106" i="1" s="1"/>
  <c r="K106" i="1" s="1"/>
  <c r="E105" i="1"/>
  <c r="H105" i="1" s="1"/>
  <c r="K105" i="1" s="1"/>
  <c r="E104" i="1"/>
  <c r="H104" i="1" s="1"/>
  <c r="K104" i="1" s="1"/>
  <c r="E102" i="1"/>
  <c r="H102" i="1" s="1"/>
  <c r="K102" i="1" s="1"/>
  <c r="H101" i="1"/>
  <c r="K101" i="1" s="1"/>
  <c r="G101" i="1"/>
  <c r="G100" i="1"/>
  <c r="H100" i="1" s="1"/>
  <c r="K100" i="1" s="1"/>
  <c r="E99" i="1"/>
  <c r="H99" i="1" s="1"/>
  <c r="K99" i="1" s="1"/>
  <c r="E98" i="1"/>
  <c r="H98" i="1" s="1"/>
  <c r="K98" i="1" s="1"/>
  <c r="J97" i="1"/>
  <c r="E97" i="1"/>
  <c r="H97" i="1" s="1"/>
  <c r="K97" i="1" s="1"/>
  <c r="E96" i="1"/>
  <c r="H96" i="1" s="1"/>
  <c r="K96" i="1" s="1"/>
  <c r="E95" i="1"/>
  <c r="H95" i="1" s="1"/>
  <c r="K95" i="1" s="1"/>
  <c r="E94" i="1"/>
  <c r="H94" i="1" s="1"/>
  <c r="K94" i="1" s="1"/>
  <c r="E93" i="1"/>
  <c r="H93" i="1" s="1"/>
  <c r="K93" i="1" s="1"/>
  <c r="E92" i="1"/>
  <c r="H92" i="1" s="1"/>
  <c r="K92" i="1" s="1"/>
  <c r="J91" i="1"/>
  <c r="H91" i="1"/>
  <c r="K91" i="1" s="1"/>
  <c r="E91" i="1"/>
  <c r="E90" i="1"/>
  <c r="H90" i="1" s="1"/>
  <c r="K90" i="1" s="1"/>
  <c r="J89" i="1"/>
  <c r="E89" i="1"/>
  <c r="H89" i="1" s="1"/>
  <c r="K89" i="1" s="1"/>
  <c r="E88" i="1"/>
  <c r="H88" i="1" s="1"/>
  <c r="K88" i="1" s="1"/>
  <c r="E87" i="1"/>
  <c r="H87" i="1" s="1"/>
  <c r="K87" i="1" s="1"/>
  <c r="H86" i="1"/>
  <c r="K86" i="1" s="1"/>
  <c r="E86" i="1"/>
  <c r="E85" i="1"/>
  <c r="H85" i="1" s="1"/>
  <c r="K85" i="1" s="1"/>
  <c r="E84" i="1"/>
  <c r="H84" i="1" s="1"/>
  <c r="K84" i="1" s="1"/>
  <c r="F83" i="1"/>
  <c r="F76" i="1" s="1"/>
  <c r="E83" i="1"/>
  <c r="H83" i="1" s="1"/>
  <c r="K83" i="1" s="1"/>
  <c r="E82" i="1"/>
  <c r="H82" i="1" s="1"/>
  <c r="K82" i="1" s="1"/>
  <c r="E81" i="1"/>
  <c r="H81" i="1" s="1"/>
  <c r="K81" i="1" s="1"/>
  <c r="E80" i="1"/>
  <c r="H80" i="1" s="1"/>
  <c r="K80" i="1" s="1"/>
  <c r="J79" i="1"/>
  <c r="J76" i="1" s="1"/>
  <c r="G79" i="1"/>
  <c r="D79" i="1"/>
  <c r="E79" i="1" s="1"/>
  <c r="H79" i="1" s="1"/>
  <c r="K79" i="1" s="1"/>
  <c r="H78" i="1"/>
  <c r="K78" i="1" s="1"/>
  <c r="E78" i="1"/>
  <c r="I76" i="1"/>
  <c r="G76" i="1"/>
  <c r="C76" i="1"/>
  <c r="E75" i="1"/>
  <c r="H75" i="1" s="1"/>
  <c r="K75" i="1" s="1"/>
  <c r="E74" i="1"/>
  <c r="H74" i="1" s="1"/>
  <c r="K74" i="1" s="1"/>
  <c r="H73" i="1"/>
  <c r="K73" i="1" s="1"/>
  <c r="E73" i="1"/>
  <c r="J71" i="1"/>
  <c r="I71" i="1"/>
  <c r="G71" i="1"/>
  <c r="F71" i="1"/>
  <c r="D71" i="1"/>
  <c r="C71" i="1"/>
  <c r="E71" i="1" s="1"/>
  <c r="G70" i="1"/>
  <c r="D70" i="1"/>
  <c r="E70" i="1" s="1"/>
  <c r="H70" i="1" s="1"/>
  <c r="K70" i="1" s="1"/>
  <c r="H69" i="1"/>
  <c r="K69" i="1" s="1"/>
  <c r="G68" i="1"/>
  <c r="G65" i="1" s="1"/>
  <c r="D68" i="1"/>
  <c r="E68" i="1" s="1"/>
  <c r="H68" i="1" s="1"/>
  <c r="K68" i="1" s="1"/>
  <c r="E67" i="1"/>
  <c r="H67" i="1" s="1"/>
  <c r="J65" i="1"/>
  <c r="I65" i="1"/>
  <c r="F65" i="1"/>
  <c r="D65" i="1"/>
  <c r="C65" i="1"/>
  <c r="E65" i="1" s="1"/>
  <c r="G64" i="1"/>
  <c r="D64" i="1"/>
  <c r="E64" i="1" s="1"/>
  <c r="H64" i="1" s="1"/>
  <c r="K64" i="1" s="1"/>
  <c r="H63" i="1"/>
  <c r="K63" i="1" s="1"/>
  <c r="E62" i="1"/>
  <c r="H62" i="1" s="1"/>
  <c r="K62" i="1" s="1"/>
  <c r="F61" i="1"/>
  <c r="F56" i="1" s="1"/>
  <c r="E61" i="1"/>
  <c r="H61" i="1" s="1"/>
  <c r="K61" i="1" s="1"/>
  <c r="K60" i="1"/>
  <c r="E59" i="1"/>
  <c r="H59" i="1" s="1"/>
  <c r="K59" i="1" s="1"/>
  <c r="E58" i="1"/>
  <c r="H58" i="1" s="1"/>
  <c r="D58" i="1"/>
  <c r="J56" i="1"/>
  <c r="I56" i="1"/>
  <c r="G56" i="1"/>
  <c r="C56" i="1"/>
  <c r="E55" i="1"/>
  <c r="H55" i="1" s="1"/>
  <c r="K55" i="1" s="1"/>
  <c r="J54" i="1"/>
  <c r="E54" i="1"/>
  <c r="H54" i="1" s="1"/>
  <c r="K54" i="1" s="1"/>
  <c r="G53" i="1"/>
  <c r="E53" i="1"/>
  <c r="H53" i="1" s="1"/>
  <c r="K53" i="1" s="1"/>
  <c r="D53" i="1"/>
  <c r="J52" i="1"/>
  <c r="G52" i="1"/>
  <c r="E52" i="1"/>
  <c r="H52" i="1" s="1"/>
  <c r="J50" i="1"/>
  <c r="I50" i="1"/>
  <c r="G50" i="1"/>
  <c r="F50" i="1"/>
  <c r="D50" i="1"/>
  <c r="C50" i="1"/>
  <c r="E50" i="1" s="1"/>
  <c r="I49" i="1"/>
  <c r="G49" i="1"/>
  <c r="D49" i="1"/>
  <c r="E49" i="1" s="1"/>
  <c r="H49" i="1" s="1"/>
  <c r="K49" i="1" s="1"/>
  <c r="K48" i="1"/>
  <c r="K47" i="1"/>
  <c r="H46" i="1"/>
  <c r="K46" i="1" s="1"/>
  <c r="H45" i="1"/>
  <c r="K45" i="1" s="1"/>
  <c r="G45" i="1"/>
  <c r="K44" i="1"/>
  <c r="J44" i="1"/>
  <c r="K43" i="1"/>
  <c r="J43" i="1"/>
  <c r="G42" i="1"/>
  <c r="H42" i="1" s="1"/>
  <c r="K42" i="1" s="1"/>
  <c r="H41" i="1"/>
  <c r="K41" i="1" s="1"/>
  <c r="G41" i="1"/>
  <c r="G40" i="1"/>
  <c r="H40" i="1" s="1"/>
  <c r="K40" i="1" s="1"/>
  <c r="H39" i="1"/>
  <c r="K39" i="1" s="1"/>
  <c r="E39" i="1"/>
  <c r="G38" i="1"/>
  <c r="H38" i="1" s="1"/>
  <c r="K38" i="1" s="1"/>
  <c r="H37" i="1"/>
  <c r="K37" i="1" s="1"/>
  <c r="G37" i="1"/>
  <c r="E36" i="1"/>
  <c r="H36" i="1" s="1"/>
  <c r="K36" i="1" s="1"/>
  <c r="D36" i="1"/>
  <c r="K34" i="1"/>
  <c r="J34" i="1"/>
  <c r="G33" i="1"/>
  <c r="H33" i="1" s="1"/>
  <c r="K33" i="1" s="1"/>
  <c r="D32" i="1"/>
  <c r="E32" i="1" s="1"/>
  <c r="H32" i="1" s="1"/>
  <c r="D31" i="1"/>
  <c r="E31" i="1" s="1"/>
  <c r="H31" i="1" s="1"/>
  <c r="K31" i="1" s="1"/>
  <c r="H30" i="1"/>
  <c r="K30" i="1" s="1"/>
  <c r="G30" i="1"/>
  <c r="K29" i="1"/>
  <c r="J29" i="1"/>
  <c r="G28" i="1"/>
  <c r="H28" i="1" s="1"/>
  <c r="K28" i="1" s="1"/>
  <c r="H27" i="1"/>
  <c r="K27" i="1" s="1"/>
  <c r="G27" i="1"/>
  <c r="G26" i="1"/>
  <c r="H26" i="1" s="1"/>
  <c r="F23" i="1"/>
  <c r="D23" i="1"/>
  <c r="E23" i="1"/>
  <c r="J19" i="1"/>
  <c r="I19" i="1"/>
  <c r="G19" i="1"/>
  <c r="F19" i="1"/>
  <c r="D19" i="1"/>
  <c r="C19" i="1"/>
  <c r="E19" i="1" s="1"/>
  <c r="E18" i="1"/>
  <c r="H18" i="1" s="1"/>
  <c r="K18" i="1" s="1"/>
  <c r="E17" i="1"/>
  <c r="H17" i="1" s="1"/>
  <c r="K17" i="1" s="1"/>
  <c r="E16" i="1"/>
  <c r="H16" i="1" s="1"/>
  <c r="K16" i="1" s="1"/>
  <c r="E15" i="1"/>
  <c r="H15" i="1" s="1"/>
  <c r="K15" i="1" s="1"/>
  <c r="E14" i="1"/>
  <c r="H14" i="1" s="1"/>
  <c r="K14" i="1" s="1"/>
  <c r="E13" i="1"/>
  <c r="H13" i="1" s="1"/>
  <c r="K13" i="1" s="1"/>
  <c r="E12" i="1"/>
  <c r="H12" i="1" s="1"/>
  <c r="D12" i="1"/>
  <c r="I9" i="1"/>
  <c r="I20" i="1" s="1"/>
  <c r="C9" i="1"/>
  <c r="C20" i="1" s="1"/>
  <c r="E20" i="1" s="1"/>
  <c r="G8" i="1"/>
  <c r="G9" i="1" s="1"/>
  <c r="G20" i="1" s="1"/>
  <c r="D8" i="1"/>
  <c r="E8" i="1" s="1"/>
  <c r="H8" i="1" s="1"/>
  <c r="K8" i="1" s="1"/>
  <c r="H7" i="1"/>
  <c r="K7" i="1" s="1"/>
  <c r="E7" i="1"/>
  <c r="J9" i="1"/>
  <c r="J20" i="1" s="1"/>
  <c r="G6" i="1"/>
  <c r="E6" i="1"/>
  <c r="E9" i="1" s="1"/>
  <c r="D6" i="1"/>
  <c r="D9" i="1" s="1"/>
  <c r="D20" i="1" s="1"/>
  <c r="F5" i="1"/>
  <c r="F9" i="1" s="1"/>
  <c r="F20" i="1" s="1"/>
  <c r="E5" i="1"/>
  <c r="H5" i="1" s="1"/>
  <c r="I267" i="1" l="1"/>
  <c r="C267" i="1"/>
  <c r="C360" i="1" s="1"/>
  <c r="K32" i="1"/>
  <c r="H23" i="1"/>
  <c r="K52" i="1"/>
  <c r="H50" i="1"/>
  <c r="K50" i="1" s="1"/>
  <c r="K5" i="1"/>
  <c r="H19" i="1"/>
  <c r="K19" i="1" s="1"/>
  <c r="K12" i="1"/>
  <c r="H56" i="1"/>
  <c r="K56" i="1" s="1"/>
  <c r="K58" i="1"/>
  <c r="K67" i="1"/>
  <c r="H65" i="1"/>
  <c r="K65" i="1" s="1"/>
  <c r="K152" i="1"/>
  <c r="H150" i="1"/>
  <c r="K150" i="1" s="1"/>
  <c r="K164" i="1"/>
  <c r="K255" i="1"/>
  <c r="K353" i="1"/>
  <c r="H350" i="1"/>
  <c r="K350" i="1" s="1"/>
  <c r="H6" i="1"/>
  <c r="K6" i="1" s="1"/>
  <c r="F267" i="1"/>
  <c r="F360" i="1" s="1"/>
  <c r="F372" i="1" s="1"/>
  <c r="K174" i="1"/>
  <c r="K178" i="1"/>
  <c r="E224" i="1"/>
  <c r="H224" i="1" s="1"/>
  <c r="K224" i="1" s="1"/>
  <c r="D221" i="1"/>
  <c r="E221" i="1" s="1"/>
  <c r="K232" i="1"/>
  <c r="J225" i="1"/>
  <c r="K297" i="1"/>
  <c r="H295" i="1"/>
  <c r="K295" i="1" s="1"/>
  <c r="K311" i="1"/>
  <c r="H309" i="1"/>
  <c r="K309" i="1" s="1"/>
  <c r="K323" i="1"/>
  <c r="H321" i="1"/>
  <c r="K321" i="1" s="1"/>
  <c r="G23" i="1"/>
  <c r="G267" i="1" s="1"/>
  <c r="D56" i="1"/>
  <c r="D267" i="1" s="1"/>
  <c r="H71" i="1"/>
  <c r="K71" i="1" s="1"/>
  <c r="D76" i="1"/>
  <c r="E76" i="1" s="1"/>
  <c r="H76" i="1"/>
  <c r="K76" i="1" s="1"/>
  <c r="H171" i="1"/>
  <c r="K171" i="1" s="1"/>
  <c r="D172" i="1"/>
  <c r="E172" i="1" s="1"/>
  <c r="H204" i="1"/>
  <c r="K204" i="1" s="1"/>
  <c r="K223" i="1"/>
  <c r="H221" i="1"/>
  <c r="K221" i="1" s="1"/>
  <c r="K227" i="1"/>
  <c r="H225" i="1"/>
  <c r="K225" i="1" s="1"/>
  <c r="E253" i="1"/>
  <c r="H257" i="1"/>
  <c r="K257" i="1" s="1"/>
  <c r="H260" i="1"/>
  <c r="J258" i="1"/>
  <c r="F359" i="1"/>
  <c r="H270" i="1"/>
  <c r="J359" i="1"/>
  <c r="K276" i="1"/>
  <c r="H274" i="1"/>
  <c r="K274" i="1" s="1"/>
  <c r="H282" i="1"/>
  <c r="K285" i="1"/>
  <c r="K286" i="1"/>
  <c r="E290" i="1"/>
  <c r="H290" i="1"/>
  <c r="K290" i="1" s="1"/>
  <c r="K301" i="1"/>
  <c r="H299" i="1"/>
  <c r="K299" i="1" s="1"/>
  <c r="K363" i="1"/>
  <c r="H371" i="1"/>
  <c r="K371" i="1" s="1"/>
  <c r="C359" i="1"/>
  <c r="E359" i="1" s="1"/>
  <c r="E270" i="1"/>
  <c r="G359" i="1"/>
  <c r="I359" i="1"/>
  <c r="I360" i="1" s="1"/>
  <c r="I372" i="1" s="1"/>
  <c r="E299" i="1"/>
  <c r="K316" i="1"/>
  <c r="H314" i="1"/>
  <c r="K314" i="1" s="1"/>
  <c r="E321" i="1"/>
  <c r="K327" i="1"/>
  <c r="H325" i="1"/>
  <c r="K325" i="1" s="1"/>
  <c r="H330" i="1"/>
  <c r="K330" i="1" s="1"/>
  <c r="K339" i="1"/>
  <c r="H337" i="1"/>
  <c r="K337" i="1" s="1"/>
  <c r="K348" i="1"/>
  <c r="H346" i="1"/>
  <c r="K346" i="1" s="1"/>
  <c r="E354" i="1"/>
  <c r="H357" i="1"/>
  <c r="E371" i="1"/>
  <c r="J267" i="1" l="1"/>
  <c r="J360" i="1" s="1"/>
  <c r="J372" i="1" s="1"/>
  <c r="D360" i="1"/>
  <c r="D372" i="1" s="1"/>
  <c r="E267" i="1"/>
  <c r="H280" i="1"/>
  <c r="K280" i="1" s="1"/>
  <c r="K282" i="1"/>
  <c r="K270" i="1"/>
  <c r="H176" i="1"/>
  <c r="K176" i="1" s="1"/>
  <c r="E56" i="1"/>
  <c r="H162" i="1"/>
  <c r="K162" i="1" s="1"/>
  <c r="H9" i="1"/>
  <c r="E360" i="1"/>
  <c r="C372" i="1"/>
  <c r="E372" i="1" s="1"/>
  <c r="K357" i="1"/>
  <c r="H354" i="1"/>
  <c r="K354" i="1" s="1"/>
  <c r="K260" i="1"/>
  <c r="H258" i="1"/>
  <c r="K258" i="1" s="1"/>
  <c r="G360" i="1"/>
  <c r="G372" i="1" s="1"/>
  <c r="H253" i="1"/>
  <c r="K253" i="1" s="1"/>
  <c r="K23" i="1"/>
  <c r="H20" i="1" l="1"/>
  <c r="K20" i="1" s="1"/>
  <c r="K9" i="1"/>
  <c r="H359" i="1"/>
  <c r="K359" i="1" s="1"/>
  <c r="H267" i="1"/>
  <c r="H360" i="1" l="1"/>
  <c r="K267" i="1"/>
  <c r="H372" i="1" l="1"/>
  <c r="K372" i="1" s="1"/>
  <c r="K360" i="1"/>
</calcChain>
</file>

<file path=xl/sharedStrings.xml><?xml version="1.0" encoding="utf-8"?>
<sst xmlns="http://schemas.openxmlformats.org/spreadsheetml/2006/main" count="561" uniqueCount="364">
  <si>
    <t>Závazný ukazatel</t>
  </si>
  <si>
    <t>Časová pužitelnost                dotací a příspěvků                                     (od - do)</t>
  </si>
  <si>
    <t>Schválený rozpočet na rok 2022                                          (v tis. Kč)</t>
  </si>
  <si>
    <t>Rozpočtová opatření RM č. 1 - 22                                         (v tis. Kč)</t>
  </si>
  <si>
    <t>Rozpočet roku 2022                 po rozpočtových opatřeních RM                        č. 1 - 26                                         (v tis. Kč)</t>
  </si>
  <si>
    <t>1. změna rozpočtu                                    (v tis. Kč)</t>
  </si>
  <si>
    <t>Rozpočtová opatření RM č. 27 - 62                                    (v tis. Kč)</t>
  </si>
  <si>
    <t>Rozpočet roku 2022  po 1. změně                                  a po RO  RM                             č. 1 - 71                                    (v tis. Kč)</t>
  </si>
  <si>
    <t>2. změna                   rozpočtu                              (v tis. Kč)</t>
  </si>
  <si>
    <t>sl. 1</t>
  </si>
  <si>
    <t>sl. 2</t>
  </si>
  <si>
    <t>sl. 3</t>
  </si>
  <si>
    <t>sl. 4</t>
  </si>
  <si>
    <t>sl. 5</t>
  </si>
  <si>
    <t>sl. 6</t>
  </si>
  <si>
    <t>sl. 7</t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</si>
  <si>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</si>
  <si>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</si>
  <si>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</si>
  <si>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</si>
  <si>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</si>
  <si>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</si>
  <si>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8, bez pol. 8117 - od 2. změny rozpočtu)</t>
  </si>
  <si>
    <t>8115 - Účelový zůstatek minulého roku</t>
  </si>
  <si>
    <t>8115 - Neúčelový zůstatek minulého roku</t>
  </si>
  <si>
    <t>8115 - Čerpání sociálního fondu</t>
  </si>
  <si>
    <t xml:space="preserve">8115 - Čerpání fondu pomoci občanům dotčeným výstavbou komunikace R/48 </t>
  </si>
  <si>
    <t>8115 - Čerpání fondu pomoci občanům dotčeným živelními pohromami</t>
  </si>
  <si>
    <t>8117 - Aktivní krátkodobé operace řízení likvidity - příjmy</t>
  </si>
  <si>
    <t>8123 - Čerpání investičního úvěru</t>
  </si>
  <si>
    <t>Financování - příjmy celkem (třída 8, bez pol. 8117 -                        od 2. změny rozpočtu)</t>
  </si>
  <si>
    <t>Celkem zdroje (příjmy + financování)</t>
  </si>
  <si>
    <t>Běžné výdaje (třída 5)</t>
  </si>
  <si>
    <t>ORJ 01-Odbor kancelář primátora</t>
  </si>
  <si>
    <t>Z toho:</t>
  </si>
  <si>
    <t>Beskydská šachová škola z.s. - zabezpečení finále Extraligy ŠSČR 2021/2022</t>
  </si>
  <si>
    <t>1.1.2022 - 30.6.2022</t>
  </si>
  <si>
    <t>Beskydská volejbalová liga amatérů, z.s. - zabezpečení 13. ročníku "Regionální Beskydské volejbalové ligy"</t>
  </si>
  <si>
    <t>1.1.2022 - 31.7.2022</t>
  </si>
  <si>
    <t>Česká asociace skateboardingu z. s. - zabezpečení akce Český skateboardový pohár 2022</t>
  </si>
  <si>
    <t>1.1.2022 - 31.10.2022</t>
  </si>
  <si>
    <t>Český svaz chovatelů z. s., základní organizace Místek 1 - zabezpečení Okresní výstavy okrasných strukturových plemen holubů a drůbeže</t>
  </si>
  <si>
    <t>1.1.2022 - 9.12.2022</t>
  </si>
  <si>
    <t>Nemocnice ve Frýdku-Místku, příspěvková organizace - zabezpečení akce Piknik s porodní asistentkou</t>
  </si>
  <si>
    <t>Tenisový klub TENNISPOINT ve Frýdku-Místku - zabezpečení tenisových turnajů kategorie A - starší žáci: Pohár primátora města Frýdku-Místku 2021 a mladší žáci: Štít města Frýdku-Místku 2021</t>
  </si>
  <si>
    <t>1.1.2022 - 31.8.2022</t>
  </si>
  <si>
    <r>
      <t>MUDr. Ivana R</t>
    </r>
    <r>
      <rPr>
        <sz val="10"/>
        <color theme="1"/>
        <rFont val="Calibri"/>
        <family val="2"/>
        <charset val="238"/>
      </rPr>
      <t>ö</t>
    </r>
    <r>
      <rPr>
        <sz val="10"/>
        <color theme="1"/>
        <rFont val="Calibri"/>
        <family val="2"/>
        <charset val="238"/>
        <scheme val="minor"/>
      </rPr>
      <t>schlová - zabezpečení akce Beskydský pediatrický den 2022</t>
    </r>
  </si>
  <si>
    <t>Plavecký oddíl Frýdek-Místek, z.s. - akce XIII. ročník plaveckých závodů O pohár primátora města Frýdku-Místku</t>
  </si>
  <si>
    <t>1.1.2022 - 31.5.2022</t>
  </si>
  <si>
    <t>Pobeskydský aviatický klub z.s. Frýdek-Místek - zabezpečení akce Setkání velkých modelů letadel</t>
  </si>
  <si>
    <t>ProJantar s.r.o. - zabezpečení Galavečeru předávání Cen Jantar 2021</t>
  </si>
  <si>
    <t>SH ČMS - Sbor dobrovolných hasičů Místek-Bahno - zabezpečení akce 100 let výročí od založení SDH Místek-Bahno</t>
  </si>
  <si>
    <t>SH ČMS - Sbor dobrovolných hasičů Frýdek - akce Oslavy 150 let od založení SDH Frýdek</t>
  </si>
  <si>
    <t>1.1.2022 - 30.11.2022</t>
  </si>
  <si>
    <t>SH ČMS Sbor dobrovolných hasičů Skalice - akce Skalický kopec</t>
  </si>
  <si>
    <t>SH ČMS - Okresní sdružení hasičů Frýdek-Místek - zabezpečení soutěže "Krajské kolo hry Plamen a celoroční činnosti dorostu SH ČMS 2022"</t>
  </si>
  <si>
    <t>Sjednocená organizace nevidomých a slabozrakových České republiky, zapsaný spolek - akce Festival Dny umění nevidomých na Moravě 2022</t>
  </si>
  <si>
    <t>Svarog gym z.s. - zabezpečení mezinárodního intenzivního výukového semináře - Thajskýi box</t>
  </si>
  <si>
    <t>Taneční studio Dancepoint, z. s. - zabezpečení Závěrečné taneční show - 17. sezóna</t>
  </si>
  <si>
    <t>Ultras Lipina z. s. - zabezpečení realizace 9. ročníku amatérského nohejbalového turnaje Nohejbal Ultras Lipina Open 2022</t>
  </si>
  <si>
    <t>Way of Warrior z. s. - zabezpečení akce WOW NEW BLOOD 8</t>
  </si>
  <si>
    <t>ZO ČSOP Nový Jičín 70/02 - záchrana volně žijících živočichů</t>
  </si>
  <si>
    <t>TJ Sokol Frýdek-Místek - výdaje na účast taneční skupiny Funky Beat na Mistrovství Evropy v Belgii HIP HOP UNITE 2022 EUROPEAN CHAMPS</t>
  </si>
  <si>
    <t>Charita Frýdek-Místek - zabezpečení koncertu Janáčkovy filharmonie v rámci akce "Charita pro Frýdek-Místek - 30 let spolu"</t>
  </si>
  <si>
    <t>Ostatní neinvestiční výdaje odboru kancelář primátora</t>
  </si>
  <si>
    <r>
      <t>OR</t>
    </r>
    <r>
      <rPr>
        <b/>
        <sz val="10"/>
        <color indexed="8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</si>
  <si>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</si>
  <si>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</si>
  <si>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</si>
  <si>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</si>
  <si>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</si>
  <si>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Československá obec legionářská, z. s. - neinvestiční dotace</t>
  </si>
  <si>
    <t>1.1.2022 - 13.12.2022</t>
  </si>
  <si>
    <t>Sportplex Frýdek-Místek, s. r. o. - neinvestiční dotace</t>
  </si>
  <si>
    <t>1.1.2022 - 31.12.2022</t>
  </si>
  <si>
    <t xml:space="preserve">Rezerva na neinvestiční dotaci - Sportplex Frýdek-Místek, s. r. o. </t>
  </si>
  <si>
    <t>Plánovaná rezerva města</t>
  </si>
  <si>
    <t>Rezerva na odvody a sankce</t>
  </si>
  <si>
    <t>Finanční dar Velvyslanectví Ukrajiny v ČR pro Ozbrojené síly a domobranu Ukrajiny</t>
  </si>
  <si>
    <t>Ostatní neinvestiční výdaje finančního odboru</t>
  </si>
  <si>
    <t>ORJ 04-Odbor správy obecního majetku</t>
  </si>
  <si>
    <t>Neinvestiční výdaje odboru správy obecního majetku z transferů</t>
  </si>
  <si>
    <t>Zdravotnická záchranná služba ve F-M, p. o. - neinvestiční dar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</si>
  <si>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</si>
  <si>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</si>
  <si>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</si>
  <si>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</si>
  <si>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</si>
  <si>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</si>
  <si>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</si>
  <si>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</si>
  <si>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</si>
  <si>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</si>
  <si>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</si>
  <si>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</si>
  <si>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</si>
  <si>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</si>
  <si>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MŠ Beruška - na provoz</t>
  </si>
  <si>
    <t>MŠ Pohádka - na provoz</t>
  </si>
  <si>
    <t>MŠ Pohádka - ÚZ 13014</t>
  </si>
  <si>
    <t>1.9.2021 - 30.6.2022</t>
  </si>
  <si>
    <t>ZŠ a MŠ Naděje, F-M, Škarabelova 562 - na provoz MŠ                       K Hájku</t>
  </si>
  <si>
    <t>MŠ Sluníčko - na provoz  (do r. 2021 pod názvem MŠ                          J. Myslivečka)</t>
  </si>
  <si>
    <t>MŠ Sluníčko - ÚZ 13014</t>
  </si>
  <si>
    <t>MŠ Mateřídouška - na provoz</t>
  </si>
  <si>
    <t>MŠ Mateřídouška - ÚZ 13014</t>
  </si>
  <si>
    <t>ZŠ a MŠ F-M, Chlebovice - na provoz MŠ Chlebovice</t>
  </si>
  <si>
    <t>ZŠ a MŠ F-M, Skalice - na provoz MŠ Skalice</t>
  </si>
  <si>
    <t>MŠ Sněženka - na provoz</t>
  </si>
  <si>
    <t>ZŠ a MŠ F-M, Lískovec - na provoz MŠ Lískovec</t>
  </si>
  <si>
    <t>MŠ Radost - na provoz (do r. 2021 pod názvem MŠ Anenská)</t>
  </si>
  <si>
    <t>MŠ Radost - ÚZ 13014</t>
  </si>
  <si>
    <t>MŠ Barevný svět - na provoz</t>
  </si>
  <si>
    <t>ZŠ F-M, národního umělce P. Bezruče, tř. TGM 454 - na provoz</t>
  </si>
  <si>
    <t>ZŠ F-M, národního umělce P. Bezruče, tř. TGM 454 - odborné kariérové a polytechnické vzdělávání - ÚZ 33063</t>
  </si>
  <si>
    <t>1.7.2021 - 30.11.2023</t>
  </si>
  <si>
    <t>ZŠ F-M, národního umělce P. Bezruče, tř. TGM 454 - odborné, kariérové a polytechnické vzdělávání - ÚZ 253</t>
  </si>
  <si>
    <t>ZŠ F-M, J. Čapka 2555 - na provoz (do r. 2021 pod názvem ZŠ a MŠ F-M, J. Čapka 2555)</t>
  </si>
  <si>
    <t xml:space="preserve">ZŠ a MŠ Naděje, F-M, Škarabelova 562 - na provoz ZŠ </t>
  </si>
  <si>
    <t>ZŠ F-M, Komenského 402 - na provoz</t>
  </si>
  <si>
    <t>ZŠ F-M, El. Krásnohorské 2254 - na provoz (do r. 2021 pod názvem ZŠ a MŠ F-M, El. Krásnohorské 2254)</t>
  </si>
  <si>
    <t>ZŠ F-M, El. Krásnohorské 2254 - příspěvek poskytnutý ex post - na provoz (do r. 2021 pod názvem ZŠ a MŠ F-M, El. Krásnohorské 2254)</t>
  </si>
  <si>
    <t>1.3.2021 - 30.11.2021</t>
  </si>
  <si>
    <t>ZŠ F-M, El. Krásnohorské 2254 - ÚZ 13014</t>
  </si>
  <si>
    <t>ZŠ F-M, Pionýrů 400 - na provoz</t>
  </si>
  <si>
    <t>ZŠ F-M, 1. máje 1700 - na provoz</t>
  </si>
  <si>
    <t>ZŠ F-M, Československé armády 570 - na provoz</t>
  </si>
  <si>
    <t>ZŠ a MŠ F-M, Lískovec - na provoz ZŠ Lískovec</t>
  </si>
  <si>
    <t>ZŠ a MŠ F-M, Chlebovice - na provoz ZŠ Chlebovice</t>
  </si>
  <si>
    <t>ZŠ F-M, J. z Poděbrad 3109 - na provoz</t>
  </si>
  <si>
    <t>ZŠ F-M, J. z Poděbrad 3109 - ÚZ 13014</t>
  </si>
  <si>
    <t>ZŠ a MŠ F-M, Skalice - na provoz ZŠ Skalice</t>
  </si>
  <si>
    <t>Středisko volného času Klíč - na provoz</t>
  </si>
  <si>
    <t>Středisko volného času Klíč - ÚZ 00133</t>
  </si>
  <si>
    <t>ZUŠ Frýdek-Místek - na provoz</t>
  </si>
  <si>
    <t>Městská knihovna Frýdek-Místek - na provoz</t>
  </si>
  <si>
    <t>Městská knihovna Frýdek-Místek - ÚZ 00345</t>
  </si>
  <si>
    <t>Městská knihovna Frýdek-Místek - ÚZ 34070</t>
  </si>
  <si>
    <t>Národní dům Frýdek-Místek - na provoz</t>
  </si>
  <si>
    <r>
      <t xml:space="preserve">Střední průmyslová škola, Obchodní akademie a Jazyková škola s právem státní jazykové zkoušky, F-M, p. o. - polytechnické a přírodní vědy - projekt "Podpora polytechnického vzdělávání žáků základních škol F≈M i střední školy POJ F≈M směrem k moderním technologiím" - </t>
    </r>
    <r>
      <rPr>
        <i/>
        <sz val="10"/>
        <color theme="1"/>
        <rFont val="Calibri"/>
        <family val="2"/>
        <charset val="238"/>
        <scheme val="minor"/>
      </rPr>
      <t>neinvestiční část transferu</t>
    </r>
  </si>
  <si>
    <t>1.6.2022 - 31.12.2023</t>
  </si>
  <si>
    <t>MAS Pobeskydí, z.s. - seminář pro ředitele škol, festival inspirace v přírodních vědách</t>
  </si>
  <si>
    <t>1.1.2022 - 15.11.2022</t>
  </si>
  <si>
    <t xml:space="preserve">GOODWILL v. o. š. - Seniorská akademie </t>
  </si>
  <si>
    <t>Paměť národa - POST BELLUM, z.ú.</t>
  </si>
  <si>
    <t>Nemocnice ve F-M, p.o. - na náklady spojené s proškolením žáků na KPR</t>
  </si>
  <si>
    <t>Židovská obec v Ostravě - na opravy židovského hřbitova</t>
  </si>
  <si>
    <t>1.1.2022 - 14.12.2022</t>
  </si>
  <si>
    <t>HC Frýdek-Místek 2015, s. r. o. - náklady družstva dospělých hokejistů</t>
  </si>
  <si>
    <t>FK Frýdek-Místek z. s. - náklady družstva dospělých fotbalistů</t>
  </si>
  <si>
    <t>Handicap centrum Škola života F-M, o.p.s. - Sportovní olympiáda mentálně postižených</t>
  </si>
  <si>
    <t>SKP Frýdek-Místek - náklady družstva dospělých házenkářů</t>
  </si>
  <si>
    <t>TJ Sokol Frýdek-Místek - na náklady družstva dospělých volejbalistek</t>
  </si>
  <si>
    <t>BŠŠ z.s. - na náklady družstva dospělých šachistů a šachistek</t>
  </si>
  <si>
    <t>BŠŠ z. s. - Turnaj šachových nadějí</t>
  </si>
  <si>
    <t>TJ Slezan F-M, z.s. - Hornická 10</t>
  </si>
  <si>
    <t>TJ Slezan F-M, z.s  - Májové závody</t>
  </si>
  <si>
    <t>BK Klasik z.s. - nájem baseballového hřiště</t>
  </si>
  <si>
    <t>SK K2, z. s. - akce F-M sport FEST</t>
  </si>
  <si>
    <t xml:space="preserve">Green Volley Frýdek-Místek, z.s. - na náklady družstva dospělých volejbalistů </t>
  </si>
  <si>
    <t>JO Tenisové tréninkové centrum z.s. - ITF 25 000 § tenisový turnaj žen</t>
  </si>
  <si>
    <t>Junák - český skaut, z.s. - na provoz skautského střediska Junák</t>
  </si>
  <si>
    <t>Ostatní neinvestiční výdaje odboru ŠKMaT</t>
  </si>
  <si>
    <t>ORJ 07-Odbor dopravy a silničního hospodářství</t>
  </si>
  <si>
    <t>ČSAD Frýdek-Místek, a. s. - provoz MHD</t>
  </si>
  <si>
    <t>ČSAD Frýdek-Místek, a. s. - provoz PAD</t>
  </si>
  <si>
    <t>ČSAD Frýdek-Místek, a. s. - provoz MHD - ÚZ 161</t>
  </si>
  <si>
    <t>MSK - dopravní obslužnost Česko-Těšínsko</t>
  </si>
  <si>
    <t>MSK - dopravní obslužnost Frýdlantsko</t>
  </si>
  <si>
    <t>MSK - dopravní obslužnost Frýdecko-Místecko</t>
  </si>
  <si>
    <t>MSK - dopravní obslužnost Havířovsko</t>
  </si>
  <si>
    <t>MSK - příspěvek na úhradu protarifovací ztráty v zóně č. 511 (Frýdek, Myslivna)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</si>
  <si>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</si>
  <si>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</si>
  <si>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</si>
  <si>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Podpora aktivit vedoucích ke zlepšení životního prostředí - viz doplňující příloha č. 5</t>
  </si>
  <si>
    <t>viz dopl. příloha č. 5</t>
  </si>
  <si>
    <t>Program Podpora výsadby dřevin - viz doplňující příloha č. 13</t>
  </si>
  <si>
    <t>viz dopl. příloha č. 13</t>
  </si>
  <si>
    <t xml:space="preserve">Sdružení vlastníků obecních a soukromých lesů v ČR </t>
  </si>
  <si>
    <t>Spolek pro Faunapark - neinvestiční příspěvek</t>
  </si>
  <si>
    <t>1.1.2022 - 15.12.2022</t>
  </si>
  <si>
    <t xml:space="preserve">Neposedné tlapky, z. s. 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</si>
  <si>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</si>
  <si>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</si>
  <si>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</si>
  <si>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</si>
  <si>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</si>
  <si>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</si>
  <si>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9</t>
  </si>
  <si>
    <t>viz dopl. příloha č. 9</t>
  </si>
  <si>
    <t>DP Podpora projektů v oblasti zdravotnictví - viz doplňující příloha č. 10</t>
  </si>
  <si>
    <t>viz dopl. příloha č. 10</t>
  </si>
  <si>
    <t>DP Podpora a rozvoj ostatních aktivit navazujících na sociální služby - viz doplňující příloha č. 11</t>
  </si>
  <si>
    <t>viz dopl. příloha č. 11</t>
  </si>
  <si>
    <r>
      <t xml:space="preserve">Hospic Frýdek-Místek, p. o. 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Hospicem Frýdek-Místek, p. o. - č. smlouvy 06964/2020/SOC)</t>
    </r>
  </si>
  <si>
    <t>Hospic Frýdek-Místek, p. o. - ÚZ 13305</t>
  </si>
  <si>
    <t>Hospic Frýdek-Místek, p. o. - ÚZ 00354</t>
  </si>
  <si>
    <t>Jesle Frýdek-Místek, p. o. - na provoz</t>
  </si>
  <si>
    <r>
      <t xml:space="preserve">Domov pro seniory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Domovem pro seniory Frýdek-Místek, p. o. - č. smlouvy 06580/2020/SOC)</t>
    </r>
  </si>
  <si>
    <t>Domov pro seniory Frýdek-Místek, p. o. - ÚZ 13305</t>
  </si>
  <si>
    <r>
      <t xml:space="preserve">Centrum pečovatelské služby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Centrem pečovatelské služby Frýdek-Místek, p. o. - č. smlouvy 06450/2020/SOC)</t>
    </r>
  </si>
  <si>
    <t>Centrum pečovatelské služby Frýdek-Místek, p. o. - ÚZ 13305</t>
  </si>
  <si>
    <r>
      <t xml:space="preserve">Penzion pro seniory Frýdek-Místek, p. o. </t>
    </r>
    <r>
      <rPr>
        <i/>
        <sz val="10"/>
        <color indexed="8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 Frýdek-Místek, p. o. - č. smlouvy 06981/2020/SOC) 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</si>
  <si>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</si>
  <si>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indexed="8"/>
        <rFont val="Calibri"/>
        <family val="2"/>
        <charset val="238"/>
        <scheme val="minor"/>
      </rPr>
      <t>(přistoupení ke Smlouvě o závazku veřejné služby a vyrovnávací platbě za jeho výkon uzavřené mezi MSK a organizací ŽIRAFA-Integrované centrum Frýdek-Místek, p. o. - č. smlouvy 07590/2020/SOC)</t>
    </r>
  </si>
  <si>
    <t>ŽIRAFA-Integrované centrum Frýdek-Místek, p. o. - ÚZ 13305</t>
  </si>
  <si>
    <t>Asociace poskytovatelů sociálních služeb ČR - členský poplatek</t>
  </si>
  <si>
    <t>Závazek MSK - Fond sociálních služeb</t>
  </si>
  <si>
    <t>Náš svět, p. o., Pržno - středisko Anenská</t>
  </si>
  <si>
    <t>Středisko sociálních služeb Frýdlant n. Ostravicí</t>
  </si>
  <si>
    <t>MEDELA-péče o seniory, o. p. s.</t>
  </si>
  <si>
    <t>Armáda spásy - Domov Přístav Frýdek-Místek</t>
  </si>
  <si>
    <t>Armáda spásy v ČR, z.s. - noclehárna pro muže Ostrava</t>
  </si>
  <si>
    <t>Společně o. p. s. Brno - SeniorPoint</t>
  </si>
  <si>
    <t>Krizové centrum Ostrava</t>
  </si>
  <si>
    <t>Cesta bez bariér</t>
  </si>
  <si>
    <t>Domov sv. Jana Křtitele, s. r. o.</t>
  </si>
  <si>
    <t>ISÚ Komorní Lhotka, p. o.</t>
  </si>
  <si>
    <t>Nadační fond Pavla Novotného - dobrovolnictví</t>
  </si>
  <si>
    <t>NIPI bezbariérové prostředí o. p. s.</t>
  </si>
  <si>
    <t>NZDM Klub Semafor (přistoupení ke Smlouvě o závazku veřejné služby a vyrovnávací platbě za jeho výkon uzavřené mezi MSK a statutárním městem Frýdek-Místek, č. smlouvy 07840/2020/SOC)</t>
  </si>
  <si>
    <t xml:space="preserve">Senioři ČR, MO FM, z.s. - provoz CAS </t>
  </si>
  <si>
    <t>Senioři ČR, z. s., aktivní senioři F-M</t>
  </si>
  <si>
    <t>Adámková vila, Domov se zvlášním režimem, z. ú.</t>
  </si>
  <si>
    <t>Charita Frýdek-Místek - Podpora dobrovolnictví</t>
  </si>
  <si>
    <t>Slezská diakonie, SÁRA F-M - azylový dům pro matky s dětmi</t>
  </si>
  <si>
    <t>Slezská diakonie, SÁRA F-M - azylový dům pro ženy</t>
  </si>
  <si>
    <t>Slezská diakonie, SÁRA F-M - sociální rehabilitace</t>
  </si>
  <si>
    <t>Slezská diakonie, RÚT F-M - sociální rehabilitace</t>
  </si>
  <si>
    <t>Slezská diakonie - sociální asistence F-M, SAS</t>
  </si>
  <si>
    <t xml:space="preserve">Slezská diakonie - výdejna potravin </t>
  </si>
  <si>
    <t>Nemocnice ve F-M, p.o. - Beskydské ortopedické dny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</si>
  <si>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</si>
  <si>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</si>
  <si>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</si>
  <si>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</si>
  <si>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</si>
  <si>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</si>
  <si>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8</t>
  </si>
  <si>
    <t>viz dopl. příloha č. 8</t>
  </si>
  <si>
    <t>DP Regenerace města Frýdku-Místku - viz doplňující příloha č. 7</t>
  </si>
  <si>
    <t>viz dopl. příloha č. 7</t>
  </si>
  <si>
    <t>DP Reklama F-M - podpora zřízení či obnovy označení provozoven - viz doplňující příloha č. 14</t>
  </si>
  <si>
    <t>viz dopl. příloha č. 14</t>
  </si>
  <si>
    <t xml:space="preserve">Turistické informační centrum - na provoz </t>
  </si>
  <si>
    <t>Turistické infromační centrum - ÚZ 00672</t>
  </si>
  <si>
    <t>Turistické informační centrum - FM plný chutí a Beskydské rekordy - příspěvek s vyúčtováním</t>
  </si>
  <si>
    <t>Destinační management turistické oblasti Beskydy - Valašsko, o. p. s. - příspěvek do fondu cestovního ruchu</t>
  </si>
  <si>
    <t xml:space="preserve">Sdružení Region Beskydy - neinvestiční příspěvek </t>
  </si>
  <si>
    <t>1.1.2022 - 30.6.2023</t>
  </si>
  <si>
    <t>Sdružení pro rozvoj Moravskoslezského kraje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</si>
  <si>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</si>
  <si>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</si>
  <si>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</si>
  <si>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</si>
  <si>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Partnerství pro městskou mobilitu - členský příspěvek</t>
  </si>
  <si>
    <t>Rezerva na Program DARUJ F≈M</t>
  </si>
  <si>
    <t>Zachování a obnova kulturních památek: Společenství vlastníků domu 24, Zámecké nám., F-M - obnova domu č.p. 24, Zámecké nám., F-M - ÚZ 34054</t>
  </si>
  <si>
    <t>Zachování a obnova kulturních památek: Dr. Ing. Radim Valas - obnova domu č.p. 1237, Radniční, F-M - ÚZ 34054</t>
  </si>
  <si>
    <t>Zachování a obnova kulturních památek: Roman Pernický - obnova domu č.p. 63, Hluboká, F-M - ÚZ 34054</t>
  </si>
  <si>
    <t>Zachování a obnova kulturních památek: Vladimír Šmaha - obnova domu č.p. 30, nám. Svobody, F-M - ÚZ 34054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</si>
  <si>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</si>
  <si>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</si>
  <si>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</si>
  <si>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</si>
  <si>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</si>
  <si>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</si>
  <si>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</si>
  <si>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</si>
  <si>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</si>
  <si>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</si>
  <si>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</si>
  <si>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KOVICH 007 s.r.o. - ubytování uprchlíků z Ukrajiny</t>
  </si>
  <si>
    <t>24.2.2022 - 25.3.2022</t>
  </si>
  <si>
    <t>SCHÄFER SCHOOL aktivity centre, z.s. - na provoz adaptační skupiny pro děti z Ukrajiny</t>
  </si>
  <si>
    <t>24.2.2022 - 30.6.2022</t>
  </si>
  <si>
    <t>Rodině blíž, z. s. - na realizaci projektu "Rodinné a výchovné poradenství"</t>
  </si>
  <si>
    <t>Ostatní neinvestiční výdaje odboru bezpečnostních rizik a prevence kriminality</t>
  </si>
  <si>
    <t>Běžné výdaje celkem (třída 5)</t>
  </si>
  <si>
    <t>Kapitálové výdaje (třída 6)</t>
  </si>
  <si>
    <t>SH ČMS Sbor dobrovolných hasičů Chlebovice - pořízení praporu pro SDH Chlebovice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</si>
  <si>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</si>
  <si>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</si>
  <si>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</si>
  <si>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</si>
  <si>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</si>
  <si>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</si>
  <si>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</si>
  <si>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</si>
  <si>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</si>
  <si>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</si>
  <si>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</si>
  <si>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Rezerva na městské investice - v oblasti bytového a nebytového fondu města</t>
  </si>
  <si>
    <t>Rezerva na městské investice - investiční akce ze zásobníku ORJ 12-IO</t>
  </si>
  <si>
    <t>Ostatní kapitálové výdaje finančního odboru</t>
  </si>
  <si>
    <t>Kapitálové výdaje hrazené z Fondu pomoci občanům dotčeným výstavbou komunikace R/48</t>
  </si>
  <si>
    <t>Ostatní kapitálové výdaje odboru správy obecního majetku</t>
  </si>
  <si>
    <t>Ostatní kapitálové výdaje živnostenského úřadu</t>
  </si>
  <si>
    <t>Kapitálové výdaje odboru ŠKMaT z transferů</t>
  </si>
  <si>
    <t>ZŠ F-M, Komenského 402 - investiční transfer na ICT - s vyúčtováním</t>
  </si>
  <si>
    <t>ZŠ F-M, El. Krásnohorské 2254 - investiční transfer na ICT - s vyúčtováním</t>
  </si>
  <si>
    <t>ZŠ F-M, El. Krásnohorské 2254 - investiční transfer poskytnutý ex post - bez vyúčtování</t>
  </si>
  <si>
    <t>ZŠ F-M, J. z Poděbrad 3109 - investiční transfer na ICT - s vyúčtováním</t>
  </si>
  <si>
    <r>
      <t xml:space="preserve">Střední průmyslová škola, Obchodní akademie a Jazyková škola s právem státní jazykové zkoušky, F-M, p. o. - polytechnické a přírodní vědy - projekt "Podpora polytechnického vzdělávání žáků základních škol F≈M i střední školy POJ F≈M směrem k moderním technologiím" - </t>
    </r>
    <r>
      <rPr>
        <i/>
        <sz val="10"/>
        <color theme="1"/>
        <rFont val="Calibri"/>
        <family val="2"/>
        <charset val="238"/>
        <scheme val="minor"/>
      </rPr>
      <t>investiční část transferu</t>
    </r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</si>
  <si>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</si>
  <si>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</si>
  <si>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</si>
  <si>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</si>
  <si>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Podpora napojení na vodohospodářskou infrastrukturu města - viz doplňující příloha č. 15</t>
  </si>
  <si>
    <t>viz dopl. příloha č. 15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</si>
  <si>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</si>
  <si>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</si>
  <si>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</si>
  <si>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</si>
  <si>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Nemocnice ve Frýdku-Místku, p. o. - Smlouva o spolupráci - nákup sanitky</t>
  </si>
  <si>
    <t>Ostatní kapitálové výdaje odboru sociálních služeb</t>
  </si>
  <si>
    <t>Kapitálové výdaje investičního odboru z transferů</t>
  </si>
  <si>
    <t>Rezerva na realizaci akcí vybraných z participativního rozpočtu</t>
  </si>
  <si>
    <t>Rezerva na kanalizace</t>
  </si>
  <si>
    <t>Ostatní kapitálové výdaje investičního odboru</t>
  </si>
  <si>
    <t>Kapitálové výdaje odboru územního rozvoje a stavebního řádu z transferů</t>
  </si>
  <si>
    <t>DP Pořízení hybridních automobilů - viz doplňující příloha č. 12</t>
  </si>
  <si>
    <t>viz dopl. příloha č. 12</t>
  </si>
  <si>
    <t>Rezerva na spolufinancování dotací</t>
  </si>
  <si>
    <t>Finanční dar pro Krajské ředitelství policie MSK na zakoupení přenosných vah PW-10 pro účely kontrolního vážení nákladních vozidel</t>
  </si>
  <si>
    <t>Finanční dar na veřejnou sbírku DARUJ F≈M - Nové lavice pro kostel sv. Jana Křtitele ve Frýdku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</si>
  <si>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</si>
  <si>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</si>
  <si>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</si>
  <si>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</si>
  <si>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HZS Moravskoslezský kraj - investiční dotace na rekonstrukci budov hasičské stanice ve Frýdku-Místku</t>
  </si>
  <si>
    <t>Kapitálové výdaje celkem (třída 6)</t>
  </si>
  <si>
    <t>Výdaje celkem (třída 5 - 6)</t>
  </si>
  <si>
    <t>Financování - výdaje (třída 8, bez pol. 8118 - od 2. změny rozpočtu)</t>
  </si>
  <si>
    <t>8115 - Sociální fond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</si>
  <si>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</si>
  <si>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</si>
  <si>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</si>
  <si>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</si>
  <si>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</si>
  <si>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8118 - Aktivní krátkodobé operace řízení likvidity - výdaje</t>
  </si>
  <si>
    <t>8124 - Splátky úvěrů</t>
  </si>
  <si>
    <t>Financování - výdaje celkem (třída 8, bez pol. 8118 -                            od 2. změny rozpočtu)</t>
  </si>
  <si>
    <t>Celkem potřeby (výdaje + financování)</t>
  </si>
  <si>
    <t>Financování - aktivní krátkodobé operace řízení likvidity (pol. 8117 a 8118)</t>
  </si>
  <si>
    <t>8117/8118 - Aktivní krátkodobé operace řízení likvidity</t>
  </si>
  <si>
    <t>x</t>
  </si>
  <si>
    <t>BABYLONIE, z. s. - zabezpečení mezinárodního setkání mládeže s názvem "Zdraví jako osobní bohatství"</t>
  </si>
  <si>
    <t>ZŠ F-M, J. Čapka 2555 - ÚZ 00333</t>
  </si>
  <si>
    <t>1.9.2022 - 31.7.2023</t>
  </si>
  <si>
    <t>ZŠ a MŠ F-M, Lískovec - ÚZ 00333</t>
  </si>
  <si>
    <t>1.9.2022 - 30.6.2023</t>
  </si>
  <si>
    <t>Městská knihovna Frýdek-Místek - ÚZ 34053</t>
  </si>
  <si>
    <t>Středisko volného času Klíč - ÚZ 33166</t>
  </si>
  <si>
    <t>Financování - aktivní krátkodobé operace řízení likvidity celkem (pol. 8117 a 8118)</t>
  </si>
  <si>
    <t>Rozpočet roku 2022 po 2. změně                                  a po RO RM                                                                       č. 1 - 117                                (v tis. Kč)</t>
  </si>
  <si>
    <t>Rozpočtová opatření                   RM č. 72 - 117                              (v tis. Kč)</t>
  </si>
  <si>
    <t>POST BELLUM, z. ú. - zabezpečení akce Pestrá paměť Moravskoslezského kraje - putovní vzdělávací výstava</t>
  </si>
  <si>
    <t>1.1.2022 - 29.12.2022</t>
  </si>
  <si>
    <t>BŠŠ z. s. - účast na Mistrovství světa, ME a Mistrovství EU</t>
  </si>
  <si>
    <t>1.7.2022 - 30.11.2022</t>
  </si>
  <si>
    <t>Tenisový klub TENNISPOINT ve Frýdku-Místku - účast na Miostrovství ČR družstev staršího dorostu (U18) 2022</t>
  </si>
  <si>
    <t>1.9.2022 - 30.11.2022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</si>
</sst>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right"/>
    </xf>
    <xf numFmtId="0" fontId="0" fillId="4" borderId="3" xfId="0" applyFont="1" applyFill="1" applyBorder="1" applyAlignment="1"/>
    <xf numFmtId="0" fontId="0" fillId="4" borderId="4" xfId="0" applyFont="1" applyFill="1" applyBorder="1" applyAlignment="1"/>
    <xf numFmtId="0" fontId="0" fillId="4" borderId="2" xfId="0" applyFont="1" applyFill="1" applyBorder="1" applyAlignment="1"/>
    <xf numFmtId="0" fontId="0" fillId="4" borderId="5" xfId="0" applyFont="1" applyFill="1" applyBorder="1" applyAlignme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/>
    <xf numFmtId="4" fontId="4" fillId="0" borderId="14" xfId="0" applyNumberFormat="1" applyFont="1" applyBorder="1" applyAlignment="1"/>
    <xf numFmtId="4" fontId="4" fillId="0" borderId="12" xfId="0" applyNumberFormat="1" applyFont="1" applyBorder="1" applyAlignment="1"/>
    <xf numFmtId="4" fontId="4" fillId="0" borderId="15" xfId="0" applyNumberFormat="1" applyFont="1" applyBorder="1" applyAlignment="1"/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/>
    </xf>
    <xf numFmtId="4" fontId="4" fillId="0" borderId="18" xfId="0" applyNumberFormat="1" applyFont="1" applyBorder="1" applyAlignment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/>
    </xf>
    <xf numFmtId="4" fontId="4" fillId="0" borderId="21" xfId="0" applyNumberFormat="1" applyFont="1" applyBorder="1" applyAlignment="1"/>
    <xf numFmtId="4" fontId="4" fillId="0" borderId="22" xfId="0" applyNumberFormat="1" applyFont="1" applyBorder="1" applyAlignment="1"/>
    <xf numFmtId="4" fontId="4" fillId="0" borderId="10" xfId="0" applyNumberFormat="1" applyFont="1" applyBorder="1" applyAlignment="1"/>
    <xf numFmtId="4" fontId="4" fillId="0" borderId="23" xfId="0" applyNumberFormat="1" applyFont="1" applyBorder="1" applyAlignment="1"/>
    <xf numFmtId="4" fontId="4" fillId="0" borderId="24" xfId="0" applyNumberFormat="1" applyFont="1" applyBorder="1" applyAlignment="1"/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/>
    </xf>
    <xf numFmtId="4" fontId="5" fillId="4" borderId="3" xfId="0" applyNumberFormat="1" applyFont="1" applyFill="1" applyBorder="1" applyAlignment="1"/>
    <xf numFmtId="4" fontId="5" fillId="4" borderId="4" xfId="0" applyNumberFormat="1" applyFont="1" applyFill="1" applyBorder="1" applyAlignment="1"/>
    <xf numFmtId="4" fontId="5" fillId="4" borderId="2" xfId="0" applyNumberFormat="1" applyFont="1" applyFill="1" applyBorder="1" applyAlignment="1"/>
    <xf numFmtId="4" fontId="5" fillId="4" borderId="5" xfId="0" applyNumberFormat="1" applyFont="1" applyFill="1" applyBorder="1" applyAlignment="1"/>
    <xf numFmtId="0" fontId="4" fillId="0" borderId="25" xfId="0" applyFont="1" applyBorder="1" applyAlignment="1">
      <alignment vertical="center" wrapText="1"/>
    </xf>
    <xf numFmtId="0" fontId="4" fillId="0" borderId="23" xfId="0" applyFont="1" applyBorder="1" applyAlignment="1">
      <alignment horizontal="right"/>
    </xf>
    <xf numFmtId="0" fontId="1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right"/>
    </xf>
    <xf numFmtId="4" fontId="4" fillId="5" borderId="3" xfId="0" applyNumberFormat="1" applyFont="1" applyFill="1" applyBorder="1" applyAlignment="1"/>
    <xf numFmtId="4" fontId="4" fillId="5" borderId="4" xfId="0" applyNumberFormat="1" applyFont="1" applyFill="1" applyBorder="1" applyAlignment="1"/>
    <xf numFmtId="4" fontId="4" fillId="5" borderId="2" xfId="0" applyNumberFormat="1" applyFont="1" applyFill="1" applyBorder="1" applyAlignment="1"/>
    <xf numFmtId="4" fontId="4" fillId="5" borderId="5" xfId="0" applyNumberFormat="1" applyFont="1" applyFill="1" applyBorder="1" applyAlignment="1"/>
    <xf numFmtId="0" fontId="4" fillId="0" borderId="12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1" fillId="5" borderId="2" xfId="0" applyFont="1" applyFill="1" applyBorder="1" applyAlignment="1">
      <alignment horizontal="right" vertical="center"/>
    </xf>
    <xf numFmtId="4" fontId="1" fillId="5" borderId="3" xfId="0" applyNumberFormat="1" applyFont="1" applyFill="1" applyBorder="1" applyAlignment="1"/>
    <xf numFmtId="4" fontId="1" fillId="5" borderId="4" xfId="0" applyNumberFormat="1" applyFont="1" applyFill="1" applyBorder="1" applyAlignment="1"/>
    <xf numFmtId="4" fontId="1" fillId="5" borderId="2" xfId="0" applyNumberFormat="1" applyFont="1" applyFill="1" applyBorder="1" applyAlignment="1"/>
    <xf numFmtId="4" fontId="1" fillId="5" borderId="5" xfId="0" applyNumberFormat="1" applyFont="1" applyFill="1" applyBorder="1" applyAlignment="1"/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right" vertical="center"/>
    </xf>
    <xf numFmtId="4" fontId="5" fillId="6" borderId="3" xfId="0" applyNumberFormat="1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/>
    <xf numFmtId="0" fontId="4" fillId="0" borderId="23" xfId="0" applyFont="1" applyBorder="1" applyAlignment="1">
      <alignment horizontal="right" vertical="center"/>
    </xf>
    <xf numFmtId="0" fontId="1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right" vertical="center"/>
    </xf>
    <xf numFmtId="4" fontId="4" fillId="7" borderId="3" xfId="0" applyNumberFormat="1" applyFont="1" applyFill="1" applyBorder="1" applyAlignment="1">
      <alignment vertical="center"/>
    </xf>
    <xf numFmtId="4" fontId="4" fillId="7" borderId="4" xfId="0" applyNumberFormat="1" applyFont="1" applyFill="1" applyBorder="1" applyAlignment="1">
      <alignment vertical="center"/>
    </xf>
    <xf numFmtId="4" fontId="4" fillId="7" borderId="2" xfId="0" applyNumberFormat="1" applyFont="1" applyFill="1" applyBorder="1" applyAlignment="1">
      <alignment vertical="center"/>
    </xf>
    <xf numFmtId="4" fontId="4" fillId="7" borderId="5" xfId="0" applyNumberFormat="1" applyFont="1" applyFill="1" applyBorder="1" applyAlignment="1"/>
    <xf numFmtId="0" fontId="6" fillId="8" borderId="1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right" vertical="center"/>
    </xf>
    <xf numFmtId="4" fontId="1" fillId="8" borderId="3" xfId="0" applyNumberFormat="1" applyFont="1" applyFill="1" applyBorder="1" applyAlignment="1">
      <alignment vertical="center"/>
    </xf>
    <xf numFmtId="4" fontId="1" fillId="8" borderId="4" xfId="0" applyNumberFormat="1" applyFont="1" applyFill="1" applyBorder="1" applyAlignment="1">
      <alignment vertical="center"/>
    </xf>
    <xf numFmtId="4" fontId="1" fillId="8" borderId="2" xfId="0" applyNumberFormat="1" applyFont="1" applyFill="1" applyBorder="1" applyAlignment="1">
      <alignment vertical="center"/>
    </xf>
    <xf numFmtId="4" fontId="1" fillId="8" borderId="5" xfId="0" applyNumberFormat="1" applyFont="1" applyFill="1" applyBorder="1" applyAlignment="1"/>
    <xf numFmtId="0" fontId="4" fillId="0" borderId="2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4" fillId="3" borderId="1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/>
    </xf>
    <xf numFmtId="0" fontId="4" fillId="3" borderId="27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/>
    </xf>
    <xf numFmtId="0" fontId="1" fillId="8" borderId="30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/>
    </xf>
    <xf numFmtId="4" fontId="1" fillId="8" borderId="3" xfId="0" applyNumberFormat="1" applyFont="1" applyFill="1" applyBorder="1" applyAlignment="1"/>
    <xf numFmtId="4" fontId="1" fillId="8" borderId="4" xfId="0" applyNumberFormat="1" applyFont="1" applyFill="1" applyBorder="1" applyAlignment="1"/>
    <xf numFmtId="4" fontId="1" fillId="8" borderId="2" xfId="0" applyNumberFormat="1" applyFont="1" applyFill="1" applyBorder="1" applyAlignment="1"/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8" xfId="0" applyNumberFormat="1" applyFont="1" applyBorder="1" applyAlignment="1"/>
    <xf numFmtId="4" fontId="4" fillId="0" borderId="17" xfId="0" applyNumberFormat="1" applyFont="1" applyBorder="1" applyAlignment="1"/>
    <xf numFmtId="0" fontId="4" fillId="0" borderId="19" xfId="0" applyFont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4" fontId="4" fillId="3" borderId="17" xfId="0" applyNumberFormat="1" applyFont="1" applyFill="1" applyBorder="1" applyAlignment="1">
      <alignment horizontal="center" vertical="center"/>
    </xf>
    <xf numFmtId="4" fontId="4" fillId="0" borderId="31" xfId="0" applyNumberFormat="1" applyFont="1" applyBorder="1" applyAlignment="1"/>
    <xf numFmtId="4" fontId="4" fillId="0" borderId="21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/>
    </xf>
    <xf numFmtId="4" fontId="4" fillId="0" borderId="20" xfId="0" applyNumberFormat="1" applyFont="1" applyBorder="1" applyAlignment="1"/>
    <xf numFmtId="0" fontId="0" fillId="0" borderId="17" xfId="0" applyFont="1" applyBorder="1" applyAlignment="1">
      <alignment horizontal="center" vertical="center"/>
    </xf>
    <xf numFmtId="4" fontId="4" fillId="0" borderId="32" xfId="0" applyNumberFormat="1" applyFont="1" applyBorder="1" applyAlignment="1"/>
    <xf numFmtId="4" fontId="4" fillId="0" borderId="33" xfId="0" applyNumberFormat="1" applyFont="1" applyBorder="1" applyAlignment="1"/>
    <xf numFmtId="4" fontId="4" fillId="0" borderId="34" xfId="0" applyNumberFormat="1" applyFont="1" applyBorder="1" applyAlignment="1"/>
    <xf numFmtId="0" fontId="6" fillId="8" borderId="1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/>
    <xf numFmtId="4" fontId="1" fillId="7" borderId="4" xfId="0" applyNumberFormat="1" applyFont="1" applyFill="1" applyBorder="1" applyAlignment="1"/>
    <xf numFmtId="4" fontId="1" fillId="7" borderId="2" xfId="0" applyNumberFormat="1" applyFont="1" applyFill="1" applyBorder="1" applyAlignment="1"/>
    <xf numFmtId="4" fontId="1" fillId="7" borderId="5" xfId="0" applyNumberFormat="1" applyFont="1" applyFill="1" applyBorder="1" applyAlignment="1"/>
    <xf numFmtId="4" fontId="1" fillId="8" borderId="3" xfId="0" applyNumberFormat="1" applyFont="1" applyFill="1" applyBorder="1" applyAlignment="1">
      <alignment horizontal="right"/>
    </xf>
    <xf numFmtId="4" fontId="1" fillId="8" borderId="2" xfId="0" applyNumberFormat="1" applyFont="1" applyFill="1" applyBorder="1" applyAlignment="1">
      <alignment horizontal="right"/>
    </xf>
    <xf numFmtId="4" fontId="12" fillId="8" borderId="3" xfId="0" applyNumberFormat="1" applyFont="1" applyFill="1" applyBorder="1" applyAlignment="1"/>
    <xf numFmtId="4" fontId="12" fillId="8" borderId="4" xfId="0" applyNumberFormat="1" applyFont="1" applyFill="1" applyBorder="1" applyAlignment="1"/>
    <xf numFmtId="4" fontId="12" fillId="8" borderId="3" xfId="0" applyNumberFormat="1" applyFont="1" applyFill="1" applyBorder="1" applyAlignment="1">
      <alignment horizontal="right"/>
    </xf>
    <xf numFmtId="4" fontId="12" fillId="8" borderId="2" xfId="0" applyNumberFormat="1" applyFont="1" applyFill="1" applyBorder="1" applyAlignment="1">
      <alignment horizontal="right"/>
    </xf>
    <xf numFmtId="0" fontId="9" fillId="3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4" fontId="4" fillId="0" borderId="31" xfId="0" applyNumberFormat="1" applyFont="1" applyBorder="1" applyAlignment="1">
      <alignment horizontal="right"/>
    </xf>
    <xf numFmtId="0" fontId="5" fillId="7" borderId="1" xfId="0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center" vertical="center"/>
    </xf>
    <xf numFmtId="4" fontId="1" fillId="3" borderId="37" xfId="0" applyNumberFormat="1" applyFont="1" applyFill="1" applyBorder="1" applyAlignment="1"/>
    <xf numFmtId="4" fontId="1" fillId="3" borderId="38" xfId="0" applyNumberFormat="1" applyFont="1" applyFill="1" applyBorder="1" applyAlignment="1"/>
    <xf numFmtId="4" fontId="1" fillId="3" borderId="36" xfId="0" applyNumberFormat="1" applyFont="1" applyFill="1" applyBorder="1" applyAlignment="1"/>
    <xf numFmtId="4" fontId="4" fillId="0" borderId="39" xfId="0" applyNumberFormat="1" applyFont="1" applyBorder="1" applyAlignment="1"/>
    <xf numFmtId="0" fontId="1" fillId="5" borderId="6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/>
    </xf>
    <xf numFmtId="4" fontId="4" fillId="5" borderId="9" xfId="0" applyNumberFormat="1" applyFont="1" applyFill="1" applyBorder="1" applyAlignment="1"/>
    <xf numFmtId="4" fontId="4" fillId="5" borderId="8" xfId="0" applyNumberFormat="1" applyFont="1" applyFill="1" applyBorder="1" applyAlignment="1"/>
    <xf numFmtId="4" fontId="4" fillId="5" borderId="7" xfId="0" applyNumberFormat="1" applyFont="1" applyFill="1" applyBorder="1" applyAlignment="1"/>
    <xf numFmtId="4" fontId="4" fillId="5" borderId="40" xfId="0" applyNumberFormat="1" applyFont="1" applyFill="1" applyBorder="1" applyAlignment="1"/>
    <xf numFmtId="0" fontId="5" fillId="6" borderId="2" xfId="0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/>
    <xf numFmtId="4" fontId="5" fillId="6" borderId="4" xfId="0" applyNumberFormat="1" applyFont="1" applyFill="1" applyBorder="1" applyAlignment="1"/>
    <xf numFmtId="4" fontId="5" fillId="6" borderId="2" xfId="0" applyNumberFormat="1" applyFont="1" applyFill="1" applyBorder="1" applyAlignme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5" borderId="2" xfId="0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/>
    <xf numFmtId="4" fontId="6" fillId="5" borderId="4" xfId="0" applyNumberFormat="1" applyFont="1" applyFill="1" applyBorder="1" applyAlignment="1"/>
    <xf numFmtId="0" fontId="0" fillId="0" borderId="14" xfId="0" applyFont="1" applyBorder="1"/>
    <xf numFmtId="0" fontId="0" fillId="0" borderId="13" xfId="0" applyFont="1" applyBorder="1"/>
    <xf numFmtId="0" fontId="0" fillId="0" borderId="0" xfId="0" applyFont="1" applyBorder="1"/>
    <xf numFmtId="0" fontId="0" fillId="0" borderId="28" xfId="0" applyFont="1" applyBorder="1"/>
    <xf numFmtId="0" fontId="0" fillId="0" borderId="18" xfId="0" applyFont="1" applyBorder="1"/>
    <xf numFmtId="0" fontId="1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4" fontId="4" fillId="7" borderId="9" xfId="0" applyNumberFormat="1" applyFont="1" applyFill="1" applyBorder="1" applyAlignment="1"/>
    <xf numFmtId="4" fontId="4" fillId="7" borderId="8" xfId="0" applyNumberFormat="1" applyFont="1" applyFill="1" applyBorder="1" applyAlignment="1"/>
    <xf numFmtId="4" fontId="4" fillId="7" borderId="7" xfId="0" applyNumberFormat="1" applyFont="1" applyFill="1" applyBorder="1" applyAlignment="1"/>
    <xf numFmtId="4" fontId="4" fillId="7" borderId="40" xfId="0" applyNumberFormat="1" applyFont="1" applyFill="1" applyBorder="1" applyAlignment="1"/>
    <xf numFmtId="0" fontId="1" fillId="3" borderId="35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0" fillId="0" borderId="41" xfId="0" applyFont="1" applyBorder="1"/>
    <xf numFmtId="0" fontId="0" fillId="0" borderId="42" xfId="0" applyFont="1" applyBorder="1"/>
    <xf numFmtId="0" fontId="0" fillId="0" borderId="42" xfId="0" applyFont="1" applyBorder="1" applyAlignment="1"/>
    <xf numFmtId="4" fontId="4" fillId="0" borderId="43" xfId="0" applyNumberFormat="1" applyFont="1" applyBorder="1" applyAlignment="1"/>
    <xf numFmtId="0" fontId="4" fillId="5" borderId="2" xfId="0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"/>
  <sheetViews>
    <sheetView tabSelected="1" view="pageLayout" topLeftCell="A358" zoomScaleNormal="100" workbookViewId="0">
      <selection activeCell="I366" sqref="I366"/>
    </sheetView>
  </sheetViews>
  <sheetFormatPr defaultRowHeight="15" x14ac:dyDescent="0.25"/>
  <cols>
    <col min="1" max="1" width="48.5703125" style="6" customWidth="1"/>
    <col min="2" max="2" width="16.42578125" style="6" customWidth="1"/>
    <col min="3" max="3" width="14" style="193" customWidth="1"/>
    <col min="4" max="4" width="12.7109375" style="194" hidden="1" customWidth="1"/>
    <col min="5" max="5" width="12.7109375" style="195" hidden="1" customWidth="1"/>
    <col min="6" max="6" width="12.7109375" style="6" hidden="1" customWidth="1"/>
    <col min="7" max="7" width="0.42578125" style="6" hidden="1" customWidth="1"/>
    <col min="8" max="8" width="14.28515625" style="6" customWidth="1"/>
    <col min="9" max="9" width="11.85546875" style="6" customWidth="1"/>
    <col min="10" max="10" width="12.5703125" style="6" customWidth="1"/>
    <col min="11" max="11" width="14.140625" style="6" customWidth="1"/>
    <col min="12" max="16384" width="9.140625" style="6"/>
  </cols>
  <sheetData>
    <row r="1" spans="1:11" ht="66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357</v>
      </c>
      <c r="K1" s="5" t="s">
        <v>356</v>
      </c>
    </row>
    <row r="2" spans="1:11" ht="13.5" customHeight="1" thickBot="1" x14ac:dyDescent="0.3">
      <c r="A2" s="7" t="s">
        <v>9</v>
      </c>
      <c r="B2" s="8" t="s">
        <v>10</v>
      </c>
      <c r="C2" s="9" t="s">
        <v>11</v>
      </c>
      <c r="D2" s="10" t="s">
        <v>12</v>
      </c>
      <c r="E2" s="11" t="s">
        <v>12</v>
      </c>
      <c r="F2" s="11" t="s">
        <v>13</v>
      </c>
      <c r="G2" s="12" t="s">
        <v>14</v>
      </c>
      <c r="H2" s="13" t="s">
        <v>12</v>
      </c>
      <c r="I2" s="9" t="s">
        <v>13</v>
      </c>
      <c r="J2" s="9" t="s">
        <v>14</v>
      </c>
      <c r="K2" s="14" t="s">
        <v>15</v>
      </c>
    </row>
    <row r="3" spans="1:11" ht="9.75" customHeight="1" thickBot="1" x14ac:dyDescent="0.3">
      <c r="A3" s="15"/>
      <c r="B3" s="16"/>
      <c r="C3" s="17"/>
      <c r="D3" s="18"/>
      <c r="E3" s="19"/>
      <c r="F3" s="19"/>
      <c r="G3" s="19"/>
      <c r="H3" s="20"/>
      <c r="I3" s="19"/>
      <c r="J3" s="19"/>
      <c r="K3" s="21"/>
    </row>
    <row r="4" spans="1:11" ht="13.5" customHeight="1" thickBot="1" x14ac:dyDescent="0.3">
      <c r="A4" s="22" t="s">
        <v>16</v>
      </c>
      <c r="B4" s="23"/>
      <c r="C4" s="24"/>
      <c r="D4" s="25"/>
      <c r="E4" s="24"/>
      <c r="F4" s="24"/>
      <c r="G4" s="24"/>
      <c r="H4" s="26"/>
      <c r="I4" s="24"/>
      <c r="J4" s="24"/>
      <c r="K4" s="27"/>
    </row>
    <row r="5" spans="1:11" x14ac:dyDescent="0.25">
      <c r="A5" s="28" t="s">
        <v>17</v>
      </c>
      <c r="B5" s="29"/>
      <c r="C5" s="30">
        <v>926510</v>
      </c>
      <c r="D5" s="31">
        <v>0</v>
      </c>
      <c r="E5" s="30">
        <f>SUM(C5:D5)</f>
        <v>926510</v>
      </c>
      <c r="F5" s="30">
        <f>-668+1428</f>
        <v>760</v>
      </c>
      <c r="G5" s="30">
        <v>0</v>
      </c>
      <c r="H5" s="32">
        <f>SUM(E5:G5)</f>
        <v>927270</v>
      </c>
      <c r="I5" s="30">
        <v>0</v>
      </c>
      <c r="J5" s="30">
        <v>0</v>
      </c>
      <c r="K5" s="33">
        <f>SUM(H5:J5)</f>
        <v>927270</v>
      </c>
    </row>
    <row r="6" spans="1:11" x14ac:dyDescent="0.25">
      <c r="A6" s="34" t="s">
        <v>18</v>
      </c>
      <c r="B6" s="35"/>
      <c r="C6" s="36">
        <v>177191.8</v>
      </c>
      <c r="D6" s="31">
        <f>17.84+84.99+59.2</f>
        <v>162.03</v>
      </c>
      <c r="E6" s="30">
        <f>SUM(C6:D6)+94.17</f>
        <v>177448</v>
      </c>
      <c r="F6" s="30">
        <v>1764.01</v>
      </c>
      <c r="G6" s="30">
        <f>-194.61+24.61+5.13</f>
        <v>-164.87</v>
      </c>
      <c r="H6" s="32">
        <f>SUM(E6:G6)+14.56</f>
        <v>179061.7</v>
      </c>
      <c r="I6" s="30">
        <v>9713.93</v>
      </c>
      <c r="J6" s="30">
        <f>56.36+3.82+14.32</f>
        <v>74.5</v>
      </c>
      <c r="K6" s="33">
        <f>SUM(H6:J6)</f>
        <v>188850.13</v>
      </c>
    </row>
    <row r="7" spans="1:11" x14ac:dyDescent="0.25">
      <c r="A7" s="34" t="s">
        <v>19</v>
      </c>
      <c r="B7" s="35"/>
      <c r="C7" s="36">
        <v>1000</v>
      </c>
      <c r="D7" s="31">
        <v>0</v>
      </c>
      <c r="E7" s="30">
        <f t="shared" ref="E7" si="0">SUM(C7:D7)</f>
        <v>1000</v>
      </c>
      <c r="F7" s="30">
        <v>0</v>
      </c>
      <c r="G7" s="30">
        <v>0</v>
      </c>
      <c r="H7" s="32">
        <f>SUM(E7:G7)</f>
        <v>1000</v>
      </c>
      <c r="I7" s="30">
        <v>49452.37</v>
      </c>
      <c r="J7" s="30">
        <v>0</v>
      </c>
      <c r="K7" s="33">
        <f t="shared" ref="K7:K75" si="1">SUM(H7:J7)</f>
        <v>50452.37</v>
      </c>
    </row>
    <row r="8" spans="1:11" ht="15.75" thickBot="1" x14ac:dyDescent="0.3">
      <c r="A8" s="37" t="s">
        <v>20</v>
      </c>
      <c r="B8" s="38"/>
      <c r="C8" s="39">
        <v>146393.82999999999</v>
      </c>
      <c r="D8" s="40">
        <f>6518+1512</f>
        <v>8030</v>
      </c>
      <c r="E8" s="41">
        <f>SUM(C8:D8)+223.57</f>
        <v>154647.4</v>
      </c>
      <c r="F8" s="41">
        <v>0</v>
      </c>
      <c r="G8" s="41">
        <f>1678+100-45+64906.72+1253.45</f>
        <v>67893.17</v>
      </c>
      <c r="H8" s="42">
        <f>SUM(E8:G8)+5029.24</f>
        <v>227569.81</v>
      </c>
      <c r="I8" s="41">
        <v>6170.41</v>
      </c>
      <c r="J8" s="41">
        <f>1360+82.14+4093.05+654.04+1913.45+3344.57-2131.2</f>
        <v>9316.0499999999993</v>
      </c>
      <c r="K8" s="43">
        <f t="shared" si="1"/>
        <v>243056.27</v>
      </c>
    </row>
    <row r="9" spans="1:11" ht="16.5" customHeight="1" thickBot="1" x14ac:dyDescent="0.3">
      <c r="A9" s="44" t="s">
        <v>21</v>
      </c>
      <c r="B9" s="45"/>
      <c r="C9" s="46">
        <f t="shared" ref="C9:H9" si="2">SUM(C5:C8)</f>
        <v>1251095.6300000001</v>
      </c>
      <c r="D9" s="47">
        <f t="shared" si="2"/>
        <v>8192.0300000000007</v>
      </c>
      <c r="E9" s="46">
        <f t="shared" si="2"/>
        <v>1259605.3999999999</v>
      </c>
      <c r="F9" s="46">
        <f t="shared" si="2"/>
        <v>2524.0100000000002</v>
      </c>
      <c r="G9" s="46">
        <f t="shared" si="2"/>
        <v>67728.3</v>
      </c>
      <c r="H9" s="48">
        <f t="shared" si="2"/>
        <v>1334901.51</v>
      </c>
      <c r="I9" s="46">
        <f>SUM(I5:I8)</f>
        <v>65336.710000000006</v>
      </c>
      <c r="J9" s="46">
        <f>SUM(J5:J8)</f>
        <v>9390.5499999999993</v>
      </c>
      <c r="K9" s="49">
        <f t="shared" si="1"/>
        <v>1409628.77</v>
      </c>
    </row>
    <row r="10" spans="1:11" ht="13.5" customHeight="1" thickBot="1" x14ac:dyDescent="0.3">
      <c r="A10" s="50"/>
      <c r="B10" s="51"/>
      <c r="C10" s="41"/>
      <c r="D10" s="40"/>
      <c r="E10" s="41"/>
      <c r="F10" s="41"/>
      <c r="G10" s="41"/>
      <c r="H10" s="42"/>
      <c r="I10" s="41"/>
      <c r="J10" s="41"/>
      <c r="K10" s="43"/>
    </row>
    <row r="11" spans="1:11" ht="27.75" customHeight="1" thickBot="1" x14ac:dyDescent="0.3">
      <c r="A11" s="52" t="s">
        <v>22</v>
      </c>
      <c r="B11" s="53"/>
      <c r="C11" s="54"/>
      <c r="D11" s="55"/>
      <c r="E11" s="54"/>
      <c r="F11" s="54"/>
      <c r="G11" s="54"/>
      <c r="H11" s="56"/>
      <c r="I11" s="54"/>
      <c r="J11" s="54"/>
      <c r="K11" s="57"/>
    </row>
    <row r="12" spans="1:11" x14ac:dyDescent="0.25">
      <c r="A12" s="28" t="s">
        <v>23</v>
      </c>
      <c r="B12" s="58"/>
      <c r="C12" s="59">
        <v>173947.22</v>
      </c>
      <c r="D12" s="60">
        <f>160+1116.95</f>
        <v>1276.95</v>
      </c>
      <c r="E12" s="59">
        <f>SUM(C12:D12)</f>
        <v>175224.17</v>
      </c>
      <c r="F12" s="59">
        <v>102517.99</v>
      </c>
      <c r="G12" s="59">
        <v>0</v>
      </c>
      <c r="H12" s="61">
        <f>SUM(E12:G12)</f>
        <v>277742.16000000003</v>
      </c>
      <c r="I12" s="59">
        <v>0</v>
      </c>
      <c r="J12" s="59">
        <v>0</v>
      </c>
      <c r="K12" s="33">
        <f>SUM(H12:J12)</f>
        <v>277742.16000000003</v>
      </c>
    </row>
    <row r="13" spans="1:11" x14ac:dyDescent="0.25">
      <c r="A13" s="34" t="s">
        <v>24</v>
      </c>
      <c r="B13" s="58"/>
      <c r="C13" s="62">
        <v>96184</v>
      </c>
      <c r="D13" s="60">
        <v>0</v>
      </c>
      <c r="E13" s="59">
        <f t="shared" ref="E13:E18" si="3">SUM(C13:D13)</f>
        <v>96184</v>
      </c>
      <c r="F13" s="59">
        <v>111459.92</v>
      </c>
      <c r="G13" s="59">
        <v>0</v>
      </c>
      <c r="H13" s="61">
        <f t="shared" ref="H13:H18" si="4">SUM(E13:G13)</f>
        <v>207643.91999999998</v>
      </c>
      <c r="I13" s="59">
        <v>0</v>
      </c>
      <c r="J13" s="59">
        <v>0</v>
      </c>
      <c r="K13" s="33">
        <f t="shared" si="1"/>
        <v>207643.91999999998</v>
      </c>
    </row>
    <row r="14" spans="1:11" ht="15" customHeight="1" x14ac:dyDescent="0.25">
      <c r="A14" s="34" t="s">
        <v>25</v>
      </c>
      <c r="B14" s="63"/>
      <c r="C14" s="62">
        <v>11066</v>
      </c>
      <c r="D14" s="60">
        <v>0</v>
      </c>
      <c r="E14" s="59">
        <f t="shared" si="3"/>
        <v>11066</v>
      </c>
      <c r="F14" s="59">
        <v>0</v>
      </c>
      <c r="G14" s="59">
        <v>0</v>
      </c>
      <c r="H14" s="61">
        <f t="shared" si="4"/>
        <v>11066</v>
      </c>
      <c r="I14" s="59">
        <v>0</v>
      </c>
      <c r="J14" s="59">
        <v>0</v>
      </c>
      <c r="K14" s="33">
        <f t="shared" si="1"/>
        <v>11066</v>
      </c>
    </row>
    <row r="15" spans="1:11" ht="26.25" customHeight="1" x14ac:dyDescent="0.25">
      <c r="A15" s="34" t="s">
        <v>26</v>
      </c>
      <c r="B15" s="63"/>
      <c r="C15" s="64">
        <v>0</v>
      </c>
      <c r="D15" s="65">
        <v>0</v>
      </c>
      <c r="E15" s="66">
        <f t="shared" si="3"/>
        <v>0</v>
      </c>
      <c r="F15" s="66">
        <v>0</v>
      </c>
      <c r="G15" s="66">
        <v>0</v>
      </c>
      <c r="H15" s="32">
        <f t="shared" si="4"/>
        <v>0</v>
      </c>
      <c r="I15" s="30">
        <v>0</v>
      </c>
      <c r="J15" s="30">
        <v>0</v>
      </c>
      <c r="K15" s="33">
        <f t="shared" si="1"/>
        <v>0</v>
      </c>
    </row>
    <row r="16" spans="1:11" ht="26.25" customHeight="1" x14ac:dyDescent="0.25">
      <c r="A16" s="34" t="s">
        <v>27</v>
      </c>
      <c r="B16" s="63"/>
      <c r="C16" s="64">
        <v>0</v>
      </c>
      <c r="D16" s="65">
        <v>0</v>
      </c>
      <c r="E16" s="66">
        <f t="shared" si="3"/>
        <v>0</v>
      </c>
      <c r="F16" s="66">
        <v>0</v>
      </c>
      <c r="G16" s="66">
        <v>0</v>
      </c>
      <c r="H16" s="32">
        <f t="shared" si="4"/>
        <v>0</v>
      </c>
      <c r="I16" s="30">
        <v>0</v>
      </c>
      <c r="J16" s="30">
        <v>0</v>
      </c>
      <c r="K16" s="33">
        <f t="shared" si="1"/>
        <v>0</v>
      </c>
    </row>
    <row r="17" spans="1:11" ht="16.5" customHeight="1" x14ac:dyDescent="0.25">
      <c r="A17" s="37" t="s">
        <v>28</v>
      </c>
      <c r="B17" s="67"/>
      <c r="C17" s="68">
        <v>600000</v>
      </c>
      <c r="D17" s="69">
        <v>0</v>
      </c>
      <c r="E17" s="70">
        <f t="shared" si="3"/>
        <v>600000</v>
      </c>
      <c r="F17" s="70">
        <v>0</v>
      </c>
      <c r="G17" s="70">
        <v>0</v>
      </c>
      <c r="H17" s="61">
        <f t="shared" si="4"/>
        <v>600000</v>
      </c>
      <c r="I17" s="59">
        <v>-600000</v>
      </c>
      <c r="J17" s="59">
        <v>0</v>
      </c>
      <c r="K17" s="33">
        <f t="shared" si="1"/>
        <v>0</v>
      </c>
    </row>
    <row r="18" spans="1:11" ht="15" customHeight="1" thickBot="1" x14ac:dyDescent="0.3">
      <c r="A18" s="37" t="s">
        <v>29</v>
      </c>
      <c r="B18" s="67"/>
      <c r="C18" s="71">
        <v>142212</v>
      </c>
      <c r="D18" s="72">
        <v>0</v>
      </c>
      <c r="E18" s="73">
        <f t="shared" si="3"/>
        <v>142212</v>
      </c>
      <c r="F18" s="73">
        <v>0</v>
      </c>
      <c r="G18" s="73">
        <v>0</v>
      </c>
      <c r="H18" s="74">
        <f t="shared" si="4"/>
        <v>142212</v>
      </c>
      <c r="I18" s="73">
        <v>-16953</v>
      </c>
      <c r="J18" s="73">
        <v>0</v>
      </c>
      <c r="K18" s="43">
        <f t="shared" si="1"/>
        <v>125259</v>
      </c>
    </row>
    <row r="19" spans="1:11" ht="30.75" thickBot="1" x14ac:dyDescent="0.3">
      <c r="A19" s="52" t="s">
        <v>30</v>
      </c>
      <c r="B19" s="75"/>
      <c r="C19" s="76">
        <f>SUM(C12:C18)</f>
        <v>1023409.22</v>
      </c>
      <c r="D19" s="77">
        <f>SUM(D12:D18)</f>
        <v>1276.95</v>
      </c>
      <c r="E19" s="76">
        <f>SUM(C19:D19)</f>
        <v>1024686.1699999999</v>
      </c>
      <c r="F19" s="76">
        <f>SUM(F12:F18)</f>
        <v>213977.91</v>
      </c>
      <c r="G19" s="76">
        <f>SUM(G12:G18)</f>
        <v>0</v>
      </c>
      <c r="H19" s="78">
        <f>SUM(H12:H18)</f>
        <v>1238664.08</v>
      </c>
      <c r="I19" s="76">
        <f>SUM(I12:I18)</f>
        <v>-616953</v>
      </c>
      <c r="J19" s="76">
        <f>SUM(J12:J18)</f>
        <v>0</v>
      </c>
      <c r="K19" s="79">
        <f t="shared" si="1"/>
        <v>621711.08000000007</v>
      </c>
    </row>
    <row r="20" spans="1:11" ht="17.25" customHeight="1" thickBot="1" x14ac:dyDescent="0.3">
      <c r="A20" s="80" t="s">
        <v>31</v>
      </c>
      <c r="B20" s="81"/>
      <c r="C20" s="82">
        <f t="shared" ref="C20:D20" si="5">SUM(C9+C19)</f>
        <v>2274504.85</v>
      </c>
      <c r="D20" s="83">
        <f t="shared" si="5"/>
        <v>9468.9800000000014</v>
      </c>
      <c r="E20" s="82">
        <f>SUM(C20:D20)</f>
        <v>2283973.83</v>
      </c>
      <c r="F20" s="82">
        <f>F9+F19</f>
        <v>216501.92</v>
      </c>
      <c r="G20" s="82">
        <f>SUM(G9+G19)</f>
        <v>67728.3</v>
      </c>
      <c r="H20" s="84">
        <f>H9+H19</f>
        <v>2573565.59</v>
      </c>
      <c r="I20" s="82">
        <f>I9+I19</f>
        <v>-551616.29</v>
      </c>
      <c r="J20" s="82">
        <f>SUM(J9+J19)</f>
        <v>9390.5499999999993</v>
      </c>
      <c r="K20" s="85">
        <f t="shared" si="1"/>
        <v>2031339.8499999999</v>
      </c>
    </row>
    <row r="21" spans="1:11" ht="13.5" customHeight="1" thickBot="1" x14ac:dyDescent="0.3">
      <c r="A21" s="50"/>
      <c r="B21" s="86"/>
      <c r="C21" s="73"/>
      <c r="D21" s="72"/>
      <c r="E21" s="73"/>
      <c r="F21" s="73"/>
      <c r="G21" s="73"/>
      <c r="H21" s="74"/>
      <c r="I21" s="73"/>
      <c r="J21" s="73"/>
      <c r="K21" s="43"/>
    </row>
    <row r="22" spans="1:11" ht="14.25" customHeight="1" thickBot="1" x14ac:dyDescent="0.3">
      <c r="A22" s="87" t="s">
        <v>32</v>
      </c>
      <c r="B22" s="88"/>
      <c r="C22" s="89"/>
      <c r="D22" s="90"/>
      <c r="E22" s="89"/>
      <c r="F22" s="89"/>
      <c r="G22" s="89"/>
      <c r="H22" s="91"/>
      <c r="I22" s="89"/>
      <c r="J22" s="89"/>
      <c r="K22" s="92"/>
    </row>
    <row r="23" spans="1:11" ht="18" customHeight="1" thickBot="1" x14ac:dyDescent="0.3">
      <c r="A23" s="93" t="s">
        <v>33</v>
      </c>
      <c r="B23" s="94"/>
      <c r="C23" s="95">
        <f>SUM(C25:C49)</f>
        <v>6475</v>
      </c>
      <c r="D23" s="96">
        <f>SUM(D31:D49)</f>
        <v>0</v>
      </c>
      <c r="E23" s="95">
        <f>SUM(C23:D23)</f>
        <v>6475</v>
      </c>
      <c r="F23" s="95">
        <f>SUM(F31:F49)</f>
        <v>0</v>
      </c>
      <c r="G23" s="95">
        <f>SUM(G27:G49)</f>
        <v>-20</v>
      </c>
      <c r="H23" s="97">
        <f>SUM(H25:H49)</f>
        <v>6435</v>
      </c>
      <c r="I23" s="95">
        <f>SUM(I25:I49)</f>
        <v>0</v>
      </c>
      <c r="J23" s="95">
        <f>SUM(J25:J49)</f>
        <v>0</v>
      </c>
      <c r="K23" s="98">
        <f t="shared" si="1"/>
        <v>6435</v>
      </c>
    </row>
    <row r="24" spans="1:11" x14ac:dyDescent="0.25">
      <c r="A24" s="99" t="s">
        <v>34</v>
      </c>
      <c r="B24" s="58"/>
      <c r="C24" s="59"/>
      <c r="D24" s="60"/>
      <c r="E24" s="59"/>
      <c r="F24" s="59"/>
      <c r="G24" s="59"/>
      <c r="H24" s="61"/>
      <c r="I24" s="59"/>
      <c r="J24" s="59"/>
      <c r="K24" s="33"/>
    </row>
    <row r="25" spans="1:11" ht="25.5" x14ac:dyDescent="0.25">
      <c r="A25" s="99" t="s">
        <v>348</v>
      </c>
      <c r="B25" s="58" t="s">
        <v>40</v>
      </c>
      <c r="C25" s="30">
        <v>0</v>
      </c>
      <c r="D25" s="31"/>
      <c r="E25" s="30"/>
      <c r="F25" s="30"/>
      <c r="G25" s="30"/>
      <c r="H25" s="32">
        <v>0</v>
      </c>
      <c r="I25" s="30">
        <v>0</v>
      </c>
      <c r="J25" s="30">
        <f>20</f>
        <v>20</v>
      </c>
      <c r="K25" s="33">
        <f>SUM(H25:J25)</f>
        <v>20</v>
      </c>
    </row>
    <row r="26" spans="1:11" ht="27" customHeight="1" x14ac:dyDescent="0.25">
      <c r="A26" s="99" t="s">
        <v>35</v>
      </c>
      <c r="B26" s="100" t="s">
        <v>36</v>
      </c>
      <c r="C26" s="36">
        <v>0</v>
      </c>
      <c r="D26" s="31"/>
      <c r="E26" s="30">
        <v>0</v>
      </c>
      <c r="F26" s="30">
        <v>0</v>
      </c>
      <c r="G26" s="30">
        <f>20</f>
        <v>20</v>
      </c>
      <c r="H26" s="32">
        <f>SUM(E26:G26)</f>
        <v>20</v>
      </c>
      <c r="I26" s="30">
        <v>0</v>
      </c>
      <c r="J26" s="30">
        <v>0</v>
      </c>
      <c r="K26" s="33">
        <f>SUM(H26:J26)</f>
        <v>20</v>
      </c>
    </row>
    <row r="27" spans="1:11" ht="30" customHeight="1" x14ac:dyDescent="0.25">
      <c r="A27" s="99" t="s">
        <v>37</v>
      </c>
      <c r="B27" s="100" t="s">
        <v>38</v>
      </c>
      <c r="C27" s="36">
        <v>0</v>
      </c>
      <c r="D27" s="31"/>
      <c r="E27" s="30">
        <v>0</v>
      </c>
      <c r="F27" s="30">
        <v>0</v>
      </c>
      <c r="G27" s="30">
        <f>30</f>
        <v>30</v>
      </c>
      <c r="H27" s="32">
        <f>SUM(E27:G27)</f>
        <v>30</v>
      </c>
      <c r="I27" s="30">
        <v>0</v>
      </c>
      <c r="J27" s="30">
        <v>0</v>
      </c>
      <c r="K27" s="33">
        <f t="shared" si="1"/>
        <v>30</v>
      </c>
    </row>
    <row r="28" spans="1:11" ht="25.5" x14ac:dyDescent="0.25">
      <c r="A28" s="99" t="s">
        <v>39</v>
      </c>
      <c r="B28" s="100" t="s">
        <v>40</v>
      </c>
      <c r="C28" s="36">
        <v>0</v>
      </c>
      <c r="D28" s="31"/>
      <c r="E28" s="30">
        <v>0</v>
      </c>
      <c r="F28" s="30">
        <v>0</v>
      </c>
      <c r="G28" s="30">
        <f>25</f>
        <v>25</v>
      </c>
      <c r="H28" s="32">
        <f>SUM(E28:G28)</f>
        <v>25</v>
      </c>
      <c r="I28" s="30">
        <v>0</v>
      </c>
      <c r="J28" s="30">
        <v>0</v>
      </c>
      <c r="K28" s="33">
        <f>SUM(H28:J28)</f>
        <v>25</v>
      </c>
    </row>
    <row r="29" spans="1:11" ht="40.5" customHeight="1" x14ac:dyDescent="0.25">
      <c r="A29" s="99" t="s">
        <v>41</v>
      </c>
      <c r="B29" s="100" t="s">
        <v>42</v>
      </c>
      <c r="C29" s="36">
        <v>0</v>
      </c>
      <c r="D29" s="31"/>
      <c r="E29" s="30"/>
      <c r="F29" s="30"/>
      <c r="G29" s="30"/>
      <c r="H29" s="32">
        <v>0</v>
      </c>
      <c r="I29" s="30">
        <v>0</v>
      </c>
      <c r="J29" s="30">
        <f>11</f>
        <v>11</v>
      </c>
      <c r="K29" s="33">
        <f>SUM(H29:J29)</f>
        <v>11</v>
      </c>
    </row>
    <row r="30" spans="1:11" ht="32.25" customHeight="1" x14ac:dyDescent="0.25">
      <c r="A30" s="99" t="s">
        <v>43</v>
      </c>
      <c r="B30" s="100" t="s">
        <v>38</v>
      </c>
      <c r="C30" s="36">
        <v>0</v>
      </c>
      <c r="D30" s="31"/>
      <c r="E30" s="30">
        <v>0</v>
      </c>
      <c r="F30" s="30">
        <v>0</v>
      </c>
      <c r="G30" s="30">
        <f>15</f>
        <v>15</v>
      </c>
      <c r="H30" s="32">
        <f>SUM(E30:G30)</f>
        <v>15</v>
      </c>
      <c r="I30" s="30">
        <v>0</v>
      </c>
      <c r="J30" s="30">
        <v>0</v>
      </c>
      <c r="K30" s="33">
        <f t="shared" si="1"/>
        <v>15</v>
      </c>
    </row>
    <row r="31" spans="1:11" ht="51.75" customHeight="1" x14ac:dyDescent="0.25">
      <c r="A31" s="101" t="s">
        <v>44</v>
      </c>
      <c r="B31" s="102" t="s">
        <v>45</v>
      </c>
      <c r="C31" s="64">
        <v>0</v>
      </c>
      <c r="D31" s="103">
        <f>40</f>
        <v>40</v>
      </c>
      <c r="E31" s="64">
        <f>SUM(C31:D31)</f>
        <v>40</v>
      </c>
      <c r="F31" s="64">
        <v>0</v>
      </c>
      <c r="G31" s="64">
        <v>0</v>
      </c>
      <c r="H31" s="104">
        <f>SUM(E31:G31)</f>
        <v>40</v>
      </c>
      <c r="I31" s="64">
        <v>0</v>
      </c>
      <c r="J31" s="66">
        <v>0</v>
      </c>
      <c r="K31" s="33">
        <f t="shared" si="1"/>
        <v>40</v>
      </c>
    </row>
    <row r="32" spans="1:11" ht="24.75" customHeight="1" x14ac:dyDescent="0.25">
      <c r="A32" s="101" t="s">
        <v>46</v>
      </c>
      <c r="B32" s="102" t="s">
        <v>38</v>
      </c>
      <c r="C32" s="64">
        <v>0</v>
      </c>
      <c r="D32" s="103">
        <f>50</f>
        <v>50</v>
      </c>
      <c r="E32" s="64">
        <f>SUM(C32:D32)</f>
        <v>50</v>
      </c>
      <c r="F32" s="64">
        <v>0</v>
      </c>
      <c r="G32" s="64">
        <v>0</v>
      </c>
      <c r="H32" s="104">
        <f t="shared" ref="H32:H46" si="6">SUM(E32:G32)</f>
        <v>50</v>
      </c>
      <c r="I32" s="64">
        <v>0</v>
      </c>
      <c r="J32" s="66">
        <v>0</v>
      </c>
      <c r="K32" s="33">
        <f t="shared" si="1"/>
        <v>50</v>
      </c>
    </row>
    <row r="33" spans="1:11" ht="28.5" customHeight="1" x14ac:dyDescent="0.25">
      <c r="A33" s="101" t="s">
        <v>47</v>
      </c>
      <c r="B33" s="102" t="s">
        <v>48</v>
      </c>
      <c r="C33" s="64">
        <v>0</v>
      </c>
      <c r="D33" s="65"/>
      <c r="E33" s="66">
        <v>0</v>
      </c>
      <c r="F33" s="66">
        <v>0</v>
      </c>
      <c r="G33" s="66">
        <f>20</f>
        <v>20</v>
      </c>
      <c r="H33" s="104">
        <f>SUM(E33:G33)</f>
        <v>20</v>
      </c>
      <c r="I33" s="64">
        <v>0</v>
      </c>
      <c r="J33" s="66">
        <f>-7.9</f>
        <v>-7.9</v>
      </c>
      <c r="K33" s="33">
        <f>SUM(H33:J33)</f>
        <v>12.1</v>
      </c>
    </row>
    <row r="34" spans="1:11" ht="28.5" customHeight="1" x14ac:dyDescent="0.25">
      <c r="A34" s="101" t="s">
        <v>49</v>
      </c>
      <c r="B34" s="102" t="s">
        <v>40</v>
      </c>
      <c r="C34" s="64">
        <v>0</v>
      </c>
      <c r="D34" s="65"/>
      <c r="E34" s="66"/>
      <c r="F34" s="66"/>
      <c r="G34" s="66"/>
      <c r="H34" s="104">
        <v>0</v>
      </c>
      <c r="I34" s="64">
        <v>0</v>
      </c>
      <c r="J34" s="66">
        <f>20</f>
        <v>20</v>
      </c>
      <c r="K34" s="33">
        <f>SUM(H34:J34)</f>
        <v>20</v>
      </c>
    </row>
    <row r="35" spans="1:11" ht="28.5" customHeight="1" x14ac:dyDescent="0.25">
      <c r="A35" s="101" t="s">
        <v>358</v>
      </c>
      <c r="B35" s="102" t="s">
        <v>359</v>
      </c>
      <c r="C35" s="64">
        <v>0</v>
      </c>
      <c r="D35" s="65"/>
      <c r="E35" s="66"/>
      <c r="F35" s="66"/>
      <c r="G35" s="66"/>
      <c r="H35" s="104">
        <v>0</v>
      </c>
      <c r="I35" s="64">
        <v>0</v>
      </c>
      <c r="J35" s="66">
        <f>24.5</f>
        <v>24.5</v>
      </c>
      <c r="K35" s="33">
        <f>SUM(H35:J35)</f>
        <v>24.5</v>
      </c>
    </row>
    <row r="36" spans="1:11" ht="27.75" customHeight="1" x14ac:dyDescent="0.25">
      <c r="A36" s="105" t="s">
        <v>50</v>
      </c>
      <c r="B36" s="102" t="s">
        <v>36</v>
      </c>
      <c r="C36" s="64">
        <v>0</v>
      </c>
      <c r="D36" s="65">
        <f>50</f>
        <v>50</v>
      </c>
      <c r="E36" s="66">
        <f t="shared" ref="E36" si="7">SUM(C36:D36)</f>
        <v>50</v>
      </c>
      <c r="F36" s="66">
        <v>0</v>
      </c>
      <c r="G36" s="66">
        <v>0</v>
      </c>
      <c r="H36" s="104">
        <f t="shared" si="6"/>
        <v>50</v>
      </c>
      <c r="I36" s="64">
        <v>0</v>
      </c>
      <c r="J36" s="66">
        <v>0</v>
      </c>
      <c r="K36" s="33">
        <f t="shared" si="1"/>
        <v>50</v>
      </c>
    </row>
    <row r="37" spans="1:11" ht="37.5" customHeight="1" x14ac:dyDescent="0.25">
      <c r="A37" s="108" t="s">
        <v>51</v>
      </c>
      <c r="B37" s="102" t="s">
        <v>45</v>
      </c>
      <c r="C37" s="64">
        <v>0</v>
      </c>
      <c r="D37" s="107"/>
      <c r="E37" s="66">
        <v>0</v>
      </c>
      <c r="F37" s="66">
        <v>0</v>
      </c>
      <c r="G37" s="66">
        <f>30</f>
        <v>30</v>
      </c>
      <c r="H37" s="104">
        <f>SUM(E37:G37)</f>
        <v>30</v>
      </c>
      <c r="I37" s="64">
        <v>0</v>
      </c>
      <c r="J37" s="66">
        <v>0</v>
      </c>
      <c r="K37" s="33">
        <f t="shared" si="1"/>
        <v>30</v>
      </c>
    </row>
    <row r="38" spans="1:11" ht="30" customHeight="1" x14ac:dyDescent="0.25">
      <c r="A38" s="108" t="s">
        <v>52</v>
      </c>
      <c r="B38" s="102" t="s">
        <v>53</v>
      </c>
      <c r="C38" s="64">
        <v>0</v>
      </c>
      <c r="D38" s="65"/>
      <c r="E38" s="66">
        <v>0</v>
      </c>
      <c r="F38" s="66">
        <v>0</v>
      </c>
      <c r="G38" s="66">
        <f>50</f>
        <v>50</v>
      </c>
      <c r="H38" s="104">
        <f>SUM(E38:G38)</f>
        <v>50</v>
      </c>
      <c r="I38" s="64">
        <v>0</v>
      </c>
      <c r="J38" s="66">
        <v>0</v>
      </c>
      <c r="K38" s="33">
        <f t="shared" si="1"/>
        <v>50</v>
      </c>
    </row>
    <row r="39" spans="1:11" ht="27.75" customHeight="1" x14ac:dyDescent="0.25">
      <c r="A39" s="109" t="s">
        <v>54</v>
      </c>
      <c r="B39" s="100" t="s">
        <v>40</v>
      </c>
      <c r="C39" s="66">
        <v>0</v>
      </c>
      <c r="D39" s="107"/>
      <c r="E39" s="66">
        <f>25</f>
        <v>25</v>
      </c>
      <c r="F39" s="66">
        <v>0</v>
      </c>
      <c r="G39" s="66">
        <v>0</v>
      </c>
      <c r="H39" s="110">
        <f t="shared" si="6"/>
        <v>25</v>
      </c>
      <c r="I39" s="66">
        <v>0</v>
      </c>
      <c r="J39" s="66">
        <v>0</v>
      </c>
      <c r="K39" s="33">
        <f t="shared" si="1"/>
        <v>25</v>
      </c>
    </row>
    <row r="40" spans="1:11" ht="39.75" customHeight="1" x14ac:dyDescent="0.25">
      <c r="A40" s="108" t="s">
        <v>55</v>
      </c>
      <c r="B40" s="102" t="s">
        <v>45</v>
      </c>
      <c r="C40" s="64">
        <v>0</v>
      </c>
      <c r="D40" s="65"/>
      <c r="E40" s="66">
        <v>0</v>
      </c>
      <c r="F40" s="66">
        <v>0</v>
      </c>
      <c r="G40" s="66">
        <f>30</f>
        <v>30</v>
      </c>
      <c r="H40" s="104">
        <f>SUM(E40:G40)</f>
        <v>30</v>
      </c>
      <c r="I40" s="64">
        <v>0</v>
      </c>
      <c r="J40" s="66">
        <v>0</v>
      </c>
      <c r="K40" s="33">
        <f t="shared" si="1"/>
        <v>30</v>
      </c>
    </row>
    <row r="41" spans="1:11" ht="42" customHeight="1" x14ac:dyDescent="0.25">
      <c r="A41" s="108" t="s">
        <v>56</v>
      </c>
      <c r="B41" s="102" t="s">
        <v>53</v>
      </c>
      <c r="C41" s="64">
        <v>0</v>
      </c>
      <c r="D41" s="107"/>
      <c r="E41" s="66">
        <v>0</v>
      </c>
      <c r="F41" s="66">
        <v>0</v>
      </c>
      <c r="G41" s="66">
        <f>25</f>
        <v>25</v>
      </c>
      <c r="H41" s="104">
        <f>SUM(E41:G41)</f>
        <v>25</v>
      </c>
      <c r="I41" s="64">
        <v>0</v>
      </c>
      <c r="J41" s="66">
        <v>0</v>
      </c>
      <c r="K41" s="33">
        <f t="shared" si="1"/>
        <v>25</v>
      </c>
    </row>
    <row r="42" spans="1:11" ht="25.5" customHeight="1" x14ac:dyDescent="0.25">
      <c r="A42" s="108" t="s">
        <v>57</v>
      </c>
      <c r="B42" s="102" t="s">
        <v>48</v>
      </c>
      <c r="C42" s="64">
        <v>0</v>
      </c>
      <c r="D42" s="107"/>
      <c r="E42" s="66">
        <v>0</v>
      </c>
      <c r="F42" s="66">
        <v>0</v>
      </c>
      <c r="G42" s="66">
        <f>30</f>
        <v>30</v>
      </c>
      <c r="H42" s="104">
        <f>SUM(E42:G42)</f>
        <v>30</v>
      </c>
      <c r="I42" s="64">
        <v>0</v>
      </c>
      <c r="J42" s="66">
        <v>0</v>
      </c>
      <c r="K42" s="33">
        <f>SUM(H42:J42)</f>
        <v>30</v>
      </c>
    </row>
    <row r="43" spans="1:11" ht="25.5" customHeight="1" x14ac:dyDescent="0.25">
      <c r="A43" s="108" t="s">
        <v>58</v>
      </c>
      <c r="B43" s="102" t="s">
        <v>45</v>
      </c>
      <c r="C43" s="64">
        <v>0</v>
      </c>
      <c r="D43" s="107"/>
      <c r="E43" s="66"/>
      <c r="F43" s="66"/>
      <c r="G43" s="66"/>
      <c r="H43" s="104">
        <v>0</v>
      </c>
      <c r="I43" s="64">
        <v>0</v>
      </c>
      <c r="J43" s="66">
        <f>14</f>
        <v>14</v>
      </c>
      <c r="K43" s="33">
        <f>SUM(H43:J43)</f>
        <v>14</v>
      </c>
    </row>
    <row r="44" spans="1:11" ht="25.5" customHeight="1" x14ac:dyDescent="0.25">
      <c r="A44" s="108" t="s">
        <v>59</v>
      </c>
      <c r="B44" s="102" t="s">
        <v>53</v>
      </c>
      <c r="C44" s="64">
        <v>0</v>
      </c>
      <c r="D44" s="107"/>
      <c r="E44" s="66"/>
      <c r="F44" s="66"/>
      <c r="G44" s="66"/>
      <c r="H44" s="104">
        <v>0</v>
      </c>
      <c r="I44" s="64">
        <v>0</v>
      </c>
      <c r="J44" s="66">
        <f>20</f>
        <v>20</v>
      </c>
      <c r="K44" s="33">
        <f>SUM(H44:J44)</f>
        <v>20</v>
      </c>
    </row>
    <row r="45" spans="1:11" ht="15.75" customHeight="1" x14ac:dyDescent="0.25">
      <c r="A45" s="108" t="s">
        <v>60</v>
      </c>
      <c r="B45" s="102" t="s">
        <v>38</v>
      </c>
      <c r="C45" s="64">
        <v>0</v>
      </c>
      <c r="D45" s="65"/>
      <c r="E45" s="66">
        <v>0</v>
      </c>
      <c r="F45" s="66">
        <v>0</v>
      </c>
      <c r="G45" s="66">
        <f>50</f>
        <v>50</v>
      </c>
      <c r="H45" s="104">
        <f>SUM(E45:G45)</f>
        <v>50</v>
      </c>
      <c r="I45" s="64">
        <v>0</v>
      </c>
      <c r="J45" s="66">
        <v>0</v>
      </c>
      <c r="K45" s="33">
        <f t="shared" si="1"/>
        <v>50</v>
      </c>
    </row>
    <row r="46" spans="1:11" ht="19.5" customHeight="1" x14ac:dyDescent="0.25">
      <c r="A46" s="109" t="s">
        <v>61</v>
      </c>
      <c r="B46" s="100" t="s">
        <v>53</v>
      </c>
      <c r="C46" s="64">
        <v>0</v>
      </c>
      <c r="D46" s="65"/>
      <c r="E46" s="66">
        <v>0</v>
      </c>
      <c r="F46" s="66">
        <v>60</v>
      </c>
      <c r="G46" s="66">
        <v>0</v>
      </c>
      <c r="H46" s="110">
        <f t="shared" si="6"/>
        <v>60</v>
      </c>
      <c r="I46" s="66">
        <v>0</v>
      </c>
      <c r="J46" s="66">
        <v>0</v>
      </c>
      <c r="K46" s="33">
        <f t="shared" si="1"/>
        <v>60</v>
      </c>
    </row>
    <row r="47" spans="1:11" ht="39.75" customHeight="1" x14ac:dyDescent="0.25">
      <c r="A47" s="108" t="s">
        <v>62</v>
      </c>
      <c r="B47" s="102" t="s">
        <v>38</v>
      </c>
      <c r="C47" s="64">
        <v>0</v>
      </c>
      <c r="D47" s="107"/>
      <c r="E47" s="111"/>
      <c r="F47" s="111"/>
      <c r="G47" s="111"/>
      <c r="H47" s="110">
        <v>0</v>
      </c>
      <c r="I47" s="66">
        <v>100</v>
      </c>
      <c r="J47" s="66">
        <v>0</v>
      </c>
      <c r="K47" s="33">
        <f t="shared" si="1"/>
        <v>100</v>
      </c>
    </row>
    <row r="48" spans="1:11" ht="39" customHeight="1" x14ac:dyDescent="0.25">
      <c r="A48" s="108" t="s">
        <v>63</v>
      </c>
      <c r="B48" s="102" t="s">
        <v>53</v>
      </c>
      <c r="C48" s="64">
        <v>0</v>
      </c>
      <c r="D48" s="65"/>
      <c r="E48" s="66"/>
      <c r="F48" s="66"/>
      <c r="G48" s="66"/>
      <c r="H48" s="110">
        <v>0</v>
      </c>
      <c r="I48" s="66">
        <v>88</v>
      </c>
      <c r="J48" s="66">
        <v>0</v>
      </c>
      <c r="K48" s="33">
        <f t="shared" si="1"/>
        <v>88</v>
      </c>
    </row>
    <row r="49" spans="1:11" ht="17.25" customHeight="1" thickBot="1" x14ac:dyDescent="0.3">
      <c r="A49" s="112" t="s">
        <v>64</v>
      </c>
      <c r="B49" s="113"/>
      <c r="C49" s="41">
        <v>6475</v>
      </c>
      <c r="D49" s="40">
        <f>-40-100</f>
        <v>-140</v>
      </c>
      <c r="E49" s="111">
        <f>SUM(C49:D49)-65</f>
        <v>6270</v>
      </c>
      <c r="F49" s="111">
        <v>-60</v>
      </c>
      <c r="G49" s="111">
        <f>-155-50-70-50</f>
        <v>-325</v>
      </c>
      <c r="H49" s="114">
        <f>SUM(E49:G49)</f>
        <v>5885</v>
      </c>
      <c r="I49" s="111">
        <f>-100-88</f>
        <v>-188</v>
      </c>
      <c r="J49" s="111">
        <f>-11-14-40-12.1-24.5</f>
        <v>-101.6</v>
      </c>
      <c r="K49" s="43">
        <f t="shared" si="1"/>
        <v>5595.4</v>
      </c>
    </row>
    <row r="50" spans="1:11" ht="16.5" customHeight="1" thickBot="1" x14ac:dyDescent="0.3">
      <c r="A50" s="115" t="s">
        <v>65</v>
      </c>
      <c r="B50" s="116"/>
      <c r="C50" s="117">
        <f>SUM(C52:C55)</f>
        <v>288995</v>
      </c>
      <c r="D50" s="118">
        <f>SUM(D52:D55)</f>
        <v>5.5</v>
      </c>
      <c r="E50" s="117">
        <f>SUM(C50:D50)</f>
        <v>289000.5</v>
      </c>
      <c r="F50" s="117">
        <f>SUM(F52:F55)</f>
        <v>45.6</v>
      </c>
      <c r="G50" s="117">
        <f>SUM(G52:G55)</f>
        <v>18638.97</v>
      </c>
      <c r="H50" s="119">
        <f>SUM(H52:H55)</f>
        <v>312081.31000000006</v>
      </c>
      <c r="I50" s="117">
        <f>SUM(I52:I55)</f>
        <v>10.7</v>
      </c>
      <c r="J50" s="117">
        <f>SUM(J52:J55)</f>
        <v>1234.5</v>
      </c>
      <c r="K50" s="98">
        <f t="shared" si="1"/>
        <v>313326.51000000007</v>
      </c>
    </row>
    <row r="51" spans="1:11" ht="14.25" customHeight="1" x14ac:dyDescent="0.25">
      <c r="A51" s="120" t="s">
        <v>34</v>
      </c>
      <c r="B51" s="100"/>
      <c r="C51" s="30"/>
      <c r="D51" s="31"/>
      <c r="E51" s="30"/>
      <c r="F51" s="30"/>
      <c r="G51" s="30"/>
      <c r="H51" s="32"/>
      <c r="I51" s="30"/>
      <c r="J51" s="30"/>
      <c r="K51" s="33"/>
    </row>
    <row r="52" spans="1:11" ht="16.5" customHeight="1" x14ac:dyDescent="0.25">
      <c r="A52" s="121" t="s">
        <v>66</v>
      </c>
      <c r="B52" s="102"/>
      <c r="C52" s="36">
        <v>0</v>
      </c>
      <c r="D52" s="31">
        <v>0</v>
      </c>
      <c r="E52" s="30">
        <f>SUM(C52:D52)</f>
        <v>0</v>
      </c>
      <c r="F52" s="30">
        <v>0</v>
      </c>
      <c r="G52" s="30">
        <f>18612.4</f>
        <v>18612.400000000001</v>
      </c>
      <c r="H52" s="32">
        <f>SUM(E52:G52)+4396.24</f>
        <v>23008.639999999999</v>
      </c>
      <c r="I52" s="30">
        <v>0</v>
      </c>
      <c r="J52" s="30">
        <f>1303</f>
        <v>1303</v>
      </c>
      <c r="K52" s="33">
        <f t="shared" si="1"/>
        <v>24311.64</v>
      </c>
    </row>
    <row r="53" spans="1:11" ht="17.25" customHeight="1" x14ac:dyDescent="0.25">
      <c r="A53" s="121" t="s">
        <v>67</v>
      </c>
      <c r="B53" s="102"/>
      <c r="C53" s="36">
        <v>700</v>
      </c>
      <c r="D53" s="122">
        <f>5.5</f>
        <v>5.5</v>
      </c>
      <c r="E53" s="36">
        <f>SUM(C53:D53)</f>
        <v>705.5</v>
      </c>
      <c r="F53" s="36">
        <v>35.700000000000003</v>
      </c>
      <c r="G53" s="36">
        <f>21.44+5.13</f>
        <v>26.57</v>
      </c>
      <c r="H53" s="123">
        <f t="shared" ref="H53:H54" si="8">SUM(E53:G53)</f>
        <v>767.7700000000001</v>
      </c>
      <c r="I53" s="36">
        <v>0</v>
      </c>
      <c r="J53" s="36">
        <f>28.36+3.82+14.32</f>
        <v>46.5</v>
      </c>
      <c r="K53" s="33">
        <f t="shared" si="1"/>
        <v>814.2700000000001</v>
      </c>
    </row>
    <row r="54" spans="1:11" ht="15.75" customHeight="1" x14ac:dyDescent="0.25">
      <c r="A54" s="121" t="s">
        <v>68</v>
      </c>
      <c r="B54" s="102"/>
      <c r="C54" s="36">
        <v>10666</v>
      </c>
      <c r="D54" s="31">
        <v>0</v>
      </c>
      <c r="E54" s="30">
        <f t="shared" ref="E54:E55" si="9">SUM(C54:D54)</f>
        <v>10666</v>
      </c>
      <c r="F54" s="30">
        <v>0</v>
      </c>
      <c r="G54" s="30">
        <v>0</v>
      </c>
      <c r="H54" s="32">
        <f t="shared" si="8"/>
        <v>10666</v>
      </c>
      <c r="I54" s="30">
        <v>0</v>
      </c>
      <c r="J54" s="30">
        <f>-115</f>
        <v>-115</v>
      </c>
      <c r="K54" s="33">
        <f t="shared" si="1"/>
        <v>10551</v>
      </c>
    </row>
    <row r="55" spans="1:11" ht="15.75" thickBot="1" x14ac:dyDescent="0.3">
      <c r="A55" s="124" t="s">
        <v>69</v>
      </c>
      <c r="B55" s="106"/>
      <c r="C55" s="39">
        <v>277629</v>
      </c>
      <c r="D55" s="40">
        <v>0</v>
      </c>
      <c r="E55" s="41">
        <f t="shared" si="9"/>
        <v>277629</v>
      </c>
      <c r="F55" s="41">
        <v>9.9</v>
      </c>
      <c r="G55" s="41">
        <v>0</v>
      </c>
      <c r="H55" s="42">
        <f>SUM(E55:G55)</f>
        <v>277638.90000000002</v>
      </c>
      <c r="I55" s="41">
        <v>10.7</v>
      </c>
      <c r="J55" s="41">
        <v>0</v>
      </c>
      <c r="K55" s="43">
        <f t="shared" si="1"/>
        <v>277649.60000000003</v>
      </c>
    </row>
    <row r="56" spans="1:11" ht="15.75" customHeight="1" thickBot="1" x14ac:dyDescent="0.3">
      <c r="A56" s="93" t="s">
        <v>70</v>
      </c>
      <c r="B56" s="125"/>
      <c r="C56" s="117">
        <f>SUM(C58:C64)</f>
        <v>41816.560000000005</v>
      </c>
      <c r="D56" s="118">
        <f>SUM(D58:D64)</f>
        <v>1363.56</v>
      </c>
      <c r="E56" s="117">
        <f>SUM(C56:D56)</f>
        <v>43180.12</v>
      </c>
      <c r="F56" s="117">
        <f>SUM(F58:F64)</f>
        <v>-15879.07</v>
      </c>
      <c r="G56" s="117">
        <f>SUM(G58:G64)</f>
        <v>-86.61</v>
      </c>
      <c r="H56" s="119">
        <f>SUM(H58:H64)</f>
        <v>27214.440000000002</v>
      </c>
      <c r="I56" s="117">
        <f>SUM(I58:I64)</f>
        <v>3415.66</v>
      </c>
      <c r="J56" s="117">
        <f>SUM(J58:J64)</f>
        <v>0</v>
      </c>
      <c r="K56" s="98">
        <f t="shared" si="1"/>
        <v>30630.100000000002</v>
      </c>
    </row>
    <row r="57" spans="1:11" x14ac:dyDescent="0.25">
      <c r="A57" s="120" t="s">
        <v>34</v>
      </c>
      <c r="B57" s="100"/>
      <c r="C57" s="30"/>
      <c r="D57" s="31"/>
      <c r="E57" s="30"/>
      <c r="F57" s="30"/>
      <c r="G57" s="30"/>
      <c r="H57" s="32"/>
      <c r="I57" s="30"/>
      <c r="J57" s="30"/>
      <c r="K57" s="33"/>
    </row>
    <row r="58" spans="1:11" ht="16.5" customHeight="1" x14ac:dyDescent="0.25">
      <c r="A58" s="126" t="s">
        <v>71</v>
      </c>
      <c r="B58" s="127" t="s">
        <v>72</v>
      </c>
      <c r="C58" s="36">
        <v>0</v>
      </c>
      <c r="D58" s="31">
        <f>20</f>
        <v>20</v>
      </c>
      <c r="E58" s="30">
        <f>SUM(C58:D58)</f>
        <v>20</v>
      </c>
      <c r="F58" s="30">
        <v>0</v>
      </c>
      <c r="G58" s="30">
        <v>0</v>
      </c>
      <c r="H58" s="32">
        <f>SUM(E58:G58)</f>
        <v>20</v>
      </c>
      <c r="I58" s="30">
        <v>0</v>
      </c>
      <c r="J58" s="30">
        <v>0</v>
      </c>
      <c r="K58" s="33">
        <f t="shared" si="1"/>
        <v>20</v>
      </c>
    </row>
    <row r="59" spans="1:11" ht="16.5" customHeight="1" x14ac:dyDescent="0.25">
      <c r="A59" s="121" t="s">
        <v>73</v>
      </c>
      <c r="B59" s="102" t="s">
        <v>74</v>
      </c>
      <c r="C59" s="36">
        <v>12100</v>
      </c>
      <c r="D59" s="31">
        <v>0</v>
      </c>
      <c r="E59" s="30">
        <f t="shared" ref="E59:E64" si="10">SUM(C59:D59)</f>
        <v>12100</v>
      </c>
      <c r="F59" s="30">
        <v>0</v>
      </c>
      <c r="G59" s="30">
        <v>0</v>
      </c>
      <c r="H59" s="32">
        <f t="shared" ref="H59:H64" si="11">SUM(E59:G59)</f>
        <v>12100</v>
      </c>
      <c r="I59" s="30">
        <v>0</v>
      </c>
      <c r="J59" s="30">
        <v>0</v>
      </c>
      <c r="K59" s="33">
        <f t="shared" si="1"/>
        <v>12100</v>
      </c>
    </row>
    <row r="60" spans="1:11" ht="26.25" customHeight="1" x14ac:dyDescent="0.25">
      <c r="A60" s="121" t="s">
        <v>75</v>
      </c>
      <c r="B60" s="102"/>
      <c r="C60" s="36">
        <v>0</v>
      </c>
      <c r="D60" s="40"/>
      <c r="E60" s="30"/>
      <c r="F60" s="30"/>
      <c r="G60" s="30"/>
      <c r="H60" s="32">
        <v>0</v>
      </c>
      <c r="I60" s="30">
        <v>4000</v>
      </c>
      <c r="J60" s="30">
        <v>0</v>
      </c>
      <c r="K60" s="33">
        <f t="shared" si="1"/>
        <v>4000</v>
      </c>
    </row>
    <row r="61" spans="1:11" ht="15.75" customHeight="1" x14ac:dyDescent="0.25">
      <c r="A61" s="121" t="s">
        <v>76</v>
      </c>
      <c r="B61" s="102"/>
      <c r="C61" s="36">
        <v>26353.66</v>
      </c>
      <c r="D61" s="31">
        <v>0</v>
      </c>
      <c r="E61" s="30">
        <f t="shared" si="10"/>
        <v>26353.66</v>
      </c>
      <c r="F61" s="30">
        <f>-7607.07-1000-700-9000</f>
        <v>-18307.07</v>
      </c>
      <c r="G61" s="30">
        <v>0</v>
      </c>
      <c r="H61" s="32">
        <f t="shared" si="11"/>
        <v>8046.59</v>
      </c>
      <c r="I61" s="30">
        <v>-584.34</v>
      </c>
      <c r="J61" s="30">
        <v>0</v>
      </c>
      <c r="K61" s="33">
        <f t="shared" si="1"/>
        <v>7462.25</v>
      </c>
    </row>
    <row r="62" spans="1:11" ht="16.5" customHeight="1" x14ac:dyDescent="0.25">
      <c r="A62" s="121" t="s">
        <v>77</v>
      </c>
      <c r="B62" s="102"/>
      <c r="C62" s="36">
        <v>200</v>
      </c>
      <c r="D62" s="31">
        <v>0</v>
      </c>
      <c r="E62" s="30">
        <f t="shared" si="10"/>
        <v>200</v>
      </c>
      <c r="F62" s="30">
        <v>0</v>
      </c>
      <c r="G62" s="30">
        <v>0</v>
      </c>
      <c r="H62" s="32">
        <f t="shared" si="11"/>
        <v>200</v>
      </c>
      <c r="I62" s="30">
        <v>0</v>
      </c>
      <c r="J62" s="30">
        <v>0</v>
      </c>
      <c r="K62" s="33">
        <f t="shared" si="1"/>
        <v>200</v>
      </c>
    </row>
    <row r="63" spans="1:11" ht="30" customHeight="1" x14ac:dyDescent="0.25">
      <c r="A63" s="124" t="s">
        <v>78</v>
      </c>
      <c r="B63" s="106"/>
      <c r="C63" s="36">
        <v>0</v>
      </c>
      <c r="D63" s="40"/>
      <c r="E63" s="36">
        <v>0</v>
      </c>
      <c r="F63" s="36">
        <v>1000</v>
      </c>
      <c r="G63" s="36">
        <v>0</v>
      </c>
      <c r="H63" s="123">
        <f t="shared" si="11"/>
        <v>1000</v>
      </c>
      <c r="I63" s="36">
        <v>0</v>
      </c>
      <c r="J63" s="30">
        <v>0</v>
      </c>
      <c r="K63" s="33">
        <f t="shared" si="1"/>
        <v>1000</v>
      </c>
    </row>
    <row r="64" spans="1:11" ht="17.25" customHeight="1" thickBot="1" x14ac:dyDescent="0.3">
      <c r="A64" s="124" t="s">
        <v>79</v>
      </c>
      <c r="B64" s="106"/>
      <c r="C64" s="39">
        <v>3162.9</v>
      </c>
      <c r="D64" s="128">
        <f>17.84+228.77+1116.95-20</f>
        <v>1343.56</v>
      </c>
      <c r="E64" s="39">
        <f t="shared" si="10"/>
        <v>4506.46</v>
      </c>
      <c r="F64" s="39">
        <v>1428</v>
      </c>
      <c r="G64" s="39">
        <f>-86.61</f>
        <v>-86.61</v>
      </c>
      <c r="H64" s="39">
        <f t="shared" si="11"/>
        <v>5847.85</v>
      </c>
      <c r="I64" s="39">
        <v>0</v>
      </c>
      <c r="J64" s="41">
        <v>0</v>
      </c>
      <c r="K64" s="43">
        <f t="shared" si="1"/>
        <v>5847.85</v>
      </c>
    </row>
    <row r="65" spans="1:11" ht="17.25" customHeight="1" thickBot="1" x14ac:dyDescent="0.3">
      <c r="A65" s="93" t="s">
        <v>80</v>
      </c>
      <c r="B65" s="116"/>
      <c r="C65" s="117">
        <f>SUM(C67:C70)</f>
        <v>121341.05</v>
      </c>
      <c r="D65" s="118">
        <f>SUM(D67:D70)</f>
        <v>-7463.3</v>
      </c>
      <c r="E65" s="117">
        <f>SUM(C65:D65)</f>
        <v>113877.75</v>
      </c>
      <c r="F65" s="117">
        <f>SUM(F67:F70)</f>
        <v>4785.78</v>
      </c>
      <c r="G65" s="117">
        <f>SUM(G67:G70)</f>
        <v>-4242.83</v>
      </c>
      <c r="H65" s="119">
        <f>SUM(H67:H70)</f>
        <v>114329.75999999998</v>
      </c>
      <c r="I65" s="117">
        <f>SUM(I67:I70)</f>
        <v>5118.1000000000004</v>
      </c>
      <c r="J65" s="117">
        <f>SUM(J67:J70)</f>
        <v>2086.4</v>
      </c>
      <c r="K65" s="98">
        <f t="shared" si="1"/>
        <v>121534.25999999998</v>
      </c>
    </row>
    <row r="66" spans="1:11" x14ac:dyDescent="0.25">
      <c r="A66" s="120" t="s">
        <v>34</v>
      </c>
      <c r="B66" s="100"/>
      <c r="C66" s="30"/>
      <c r="D66" s="31"/>
      <c r="E66" s="30"/>
      <c r="F66" s="30"/>
      <c r="G66" s="30"/>
      <c r="H66" s="32"/>
      <c r="I66" s="30"/>
      <c r="J66" s="30"/>
      <c r="K66" s="33"/>
    </row>
    <row r="67" spans="1:11" ht="27.75" customHeight="1" x14ac:dyDescent="0.25">
      <c r="A67" s="120" t="s">
        <v>81</v>
      </c>
      <c r="B67" s="100"/>
      <c r="C67" s="36">
        <v>0</v>
      </c>
      <c r="D67" s="31">
        <v>0</v>
      </c>
      <c r="E67" s="66">
        <f>SUM(C67:D67)</f>
        <v>0</v>
      </c>
      <c r="F67" s="66">
        <v>0</v>
      </c>
      <c r="G67" s="66">
        <v>0</v>
      </c>
      <c r="H67" s="110">
        <f>SUM(E67:G67)</f>
        <v>0</v>
      </c>
      <c r="I67" s="66">
        <v>0</v>
      </c>
      <c r="J67" s="66">
        <f>259+250-250</f>
        <v>259</v>
      </c>
      <c r="K67" s="33">
        <f t="shared" si="1"/>
        <v>259</v>
      </c>
    </row>
    <row r="68" spans="1:11" ht="15.75" customHeight="1" x14ac:dyDescent="0.25">
      <c r="A68" s="121" t="s">
        <v>67</v>
      </c>
      <c r="B68" s="102"/>
      <c r="C68" s="36">
        <v>50245.05</v>
      </c>
      <c r="D68" s="31">
        <f>-6934-429.3</f>
        <v>-7363.3</v>
      </c>
      <c r="E68" s="66">
        <f t="shared" ref="E68:E70" si="12">SUM(C68:D68)</f>
        <v>42881.75</v>
      </c>
      <c r="F68" s="66">
        <v>4573.38</v>
      </c>
      <c r="G68" s="66">
        <f>-196.83-4000</f>
        <v>-4196.83</v>
      </c>
      <c r="H68" s="110">
        <f>SUM(E68:G68)-112.94</f>
        <v>43145.359999999993</v>
      </c>
      <c r="I68" s="66">
        <v>5118.1000000000004</v>
      </c>
      <c r="J68" s="66">
        <f>277.4-1655+2955</f>
        <v>1577.4</v>
      </c>
      <c r="K68" s="33">
        <f t="shared" si="1"/>
        <v>49840.859999999993</v>
      </c>
    </row>
    <row r="69" spans="1:11" ht="26.25" customHeight="1" x14ac:dyDescent="0.25">
      <c r="A69" s="121" t="s">
        <v>82</v>
      </c>
      <c r="B69" s="102"/>
      <c r="C69" s="36">
        <v>0</v>
      </c>
      <c r="D69" s="31"/>
      <c r="E69" s="66">
        <v>0</v>
      </c>
      <c r="F69" s="66">
        <v>50</v>
      </c>
      <c r="G69" s="66">
        <v>0</v>
      </c>
      <c r="H69" s="110">
        <f t="shared" ref="H69" si="13">SUM(E69:G69)</f>
        <v>50</v>
      </c>
      <c r="I69" s="66">
        <v>0</v>
      </c>
      <c r="J69" s="66">
        <v>0</v>
      </c>
      <c r="K69" s="33">
        <f t="shared" si="1"/>
        <v>50</v>
      </c>
    </row>
    <row r="70" spans="1:11" ht="18" customHeight="1" thickBot="1" x14ac:dyDescent="0.3">
      <c r="A70" s="124" t="s">
        <v>83</v>
      </c>
      <c r="B70" s="106"/>
      <c r="C70" s="39">
        <v>71096</v>
      </c>
      <c r="D70" s="128">
        <f>-100</f>
        <v>-100</v>
      </c>
      <c r="E70" s="129">
        <f t="shared" si="12"/>
        <v>70996</v>
      </c>
      <c r="F70" s="129">
        <v>162.4</v>
      </c>
      <c r="G70" s="129">
        <f>-46</f>
        <v>-46</v>
      </c>
      <c r="H70" s="130">
        <f>SUM(E70:G70)+22</f>
        <v>71134.399999999994</v>
      </c>
      <c r="I70" s="129">
        <v>0</v>
      </c>
      <c r="J70" s="129">
        <f>307-57</f>
        <v>250</v>
      </c>
      <c r="K70" s="43">
        <f t="shared" si="1"/>
        <v>71384.399999999994</v>
      </c>
    </row>
    <row r="71" spans="1:11" ht="15.75" thickBot="1" x14ac:dyDescent="0.3">
      <c r="A71" s="93" t="s">
        <v>84</v>
      </c>
      <c r="B71" s="125"/>
      <c r="C71" s="117">
        <f>SUM(C73:C75)</f>
        <v>1563.42</v>
      </c>
      <c r="D71" s="118">
        <f>SUM(D73:D75)</f>
        <v>0</v>
      </c>
      <c r="E71" s="117">
        <f>SUM(C71:D71)</f>
        <v>1563.42</v>
      </c>
      <c r="F71" s="117">
        <f>SUM(F73:F75)</f>
        <v>250</v>
      </c>
      <c r="G71" s="117">
        <f>SUM(G73:G75)</f>
        <v>0</v>
      </c>
      <c r="H71" s="119">
        <f>SUM(H73:H75)</f>
        <v>1813.42</v>
      </c>
      <c r="I71" s="117">
        <f>SUM(I73:I75)</f>
        <v>0</v>
      </c>
      <c r="J71" s="117">
        <f>SUM(J73:J75)</f>
        <v>0</v>
      </c>
      <c r="K71" s="98">
        <f t="shared" si="1"/>
        <v>1813.42</v>
      </c>
    </row>
    <row r="72" spans="1:11" x14ac:dyDescent="0.25">
      <c r="A72" s="131" t="s">
        <v>34</v>
      </c>
      <c r="B72" s="100"/>
      <c r="C72" s="30"/>
      <c r="D72" s="31"/>
      <c r="E72" s="30"/>
      <c r="F72" s="30"/>
      <c r="G72" s="30"/>
      <c r="H72" s="32"/>
      <c r="I72" s="30"/>
      <c r="J72" s="30"/>
      <c r="K72" s="33"/>
    </row>
    <row r="73" spans="1:11" ht="27.75" customHeight="1" x14ac:dyDescent="0.25">
      <c r="A73" s="34" t="s">
        <v>85</v>
      </c>
      <c r="B73" s="132" t="s">
        <v>72</v>
      </c>
      <c r="C73" s="36">
        <v>15</v>
      </c>
      <c r="D73" s="31">
        <v>0</v>
      </c>
      <c r="E73" s="30">
        <f>SUM(C73:D73)</f>
        <v>15</v>
      </c>
      <c r="F73" s="30">
        <v>0</v>
      </c>
      <c r="G73" s="30">
        <v>0</v>
      </c>
      <c r="H73" s="32">
        <f>SUM(E73:G73)</f>
        <v>15</v>
      </c>
      <c r="I73" s="30">
        <v>0</v>
      </c>
      <c r="J73" s="30">
        <v>0</v>
      </c>
      <c r="K73" s="33">
        <f t="shared" si="1"/>
        <v>15</v>
      </c>
    </row>
    <row r="74" spans="1:11" ht="17.25" customHeight="1" x14ac:dyDescent="0.25">
      <c r="A74" s="133" t="s">
        <v>67</v>
      </c>
      <c r="B74" s="106"/>
      <c r="C74" s="36">
        <v>56.7</v>
      </c>
      <c r="D74" s="31">
        <v>0</v>
      </c>
      <c r="E74" s="30">
        <f t="shared" ref="E74:E75" si="14">SUM(C74:D74)</f>
        <v>56.7</v>
      </c>
      <c r="F74" s="30">
        <v>0</v>
      </c>
      <c r="G74" s="30">
        <v>0</v>
      </c>
      <c r="H74" s="32">
        <f t="shared" ref="H74:H75" si="15">SUM(E74:G74)</f>
        <v>56.7</v>
      </c>
      <c r="I74" s="30">
        <v>0</v>
      </c>
      <c r="J74" s="30">
        <v>0</v>
      </c>
      <c r="K74" s="33">
        <f t="shared" si="1"/>
        <v>56.7</v>
      </c>
    </row>
    <row r="75" spans="1:11" ht="15.75" thickBot="1" x14ac:dyDescent="0.3">
      <c r="A75" s="133" t="s">
        <v>86</v>
      </c>
      <c r="B75" s="106"/>
      <c r="C75" s="39">
        <v>1491.72</v>
      </c>
      <c r="D75" s="128">
        <v>0</v>
      </c>
      <c r="E75" s="39">
        <f t="shared" si="14"/>
        <v>1491.72</v>
      </c>
      <c r="F75" s="39">
        <v>250</v>
      </c>
      <c r="G75" s="39">
        <v>0</v>
      </c>
      <c r="H75" s="141">
        <f t="shared" si="15"/>
        <v>1741.72</v>
      </c>
      <c r="I75" s="39">
        <v>0</v>
      </c>
      <c r="J75" s="39">
        <v>0</v>
      </c>
      <c r="K75" s="145">
        <f t="shared" si="1"/>
        <v>1741.72</v>
      </c>
    </row>
    <row r="76" spans="1:11" ht="15.75" thickBot="1" x14ac:dyDescent="0.3">
      <c r="A76" s="134" t="s">
        <v>87</v>
      </c>
      <c r="B76" s="125"/>
      <c r="C76" s="117">
        <f>SUM(C78:C149)</f>
        <v>199620</v>
      </c>
      <c r="D76" s="118">
        <f>SUM(D78:D149)</f>
        <v>-380</v>
      </c>
      <c r="E76" s="117">
        <f>SUM(C76:D76)</f>
        <v>199240</v>
      </c>
      <c r="F76" s="117">
        <f>SUM(F78:F149)</f>
        <v>3442</v>
      </c>
      <c r="G76" s="117">
        <f>SUM(G78:G149)</f>
        <v>283.83</v>
      </c>
      <c r="H76" s="119">
        <f>SUM(H78:H149)</f>
        <v>203471.57</v>
      </c>
      <c r="I76" s="117">
        <f>SUM(I78:I149)</f>
        <v>1599.7199999999998</v>
      </c>
      <c r="J76" s="117">
        <f>SUM(J78:J149)</f>
        <v>690.65</v>
      </c>
      <c r="K76" s="98">
        <f t="shared" ref="K76:K146" si="16">SUM(H76:J76)</f>
        <v>205761.94</v>
      </c>
    </row>
    <row r="77" spans="1:11" x14ac:dyDescent="0.25">
      <c r="A77" s="135" t="s">
        <v>34</v>
      </c>
      <c r="B77" s="100"/>
      <c r="C77" s="30"/>
      <c r="D77" s="31"/>
      <c r="E77" s="30"/>
      <c r="F77" s="30"/>
      <c r="G77" s="30"/>
      <c r="H77" s="32"/>
      <c r="I77" s="30"/>
      <c r="J77" s="30"/>
      <c r="K77" s="33"/>
    </row>
    <row r="78" spans="1:11" x14ac:dyDescent="0.25">
      <c r="A78" s="136" t="s">
        <v>88</v>
      </c>
      <c r="B78" s="132"/>
      <c r="C78" s="36">
        <v>0</v>
      </c>
      <c r="D78" s="31">
        <v>0</v>
      </c>
      <c r="E78" s="30">
        <f>SUM(C78:D78)</f>
        <v>0</v>
      </c>
      <c r="F78" s="30">
        <v>0</v>
      </c>
      <c r="G78" s="30">
        <v>0</v>
      </c>
      <c r="H78" s="32">
        <f>SUM(E78:G78)</f>
        <v>0</v>
      </c>
      <c r="I78" s="30">
        <v>0</v>
      </c>
      <c r="J78" s="30">
        <v>0</v>
      </c>
      <c r="K78" s="33">
        <f t="shared" si="16"/>
        <v>0</v>
      </c>
    </row>
    <row r="79" spans="1:11" ht="15.75" customHeight="1" x14ac:dyDescent="0.25">
      <c r="A79" s="136" t="s">
        <v>67</v>
      </c>
      <c r="B79" s="132"/>
      <c r="C79" s="36">
        <v>2740</v>
      </c>
      <c r="D79" s="31">
        <f>1100+80</f>
        <v>1180</v>
      </c>
      <c r="E79" s="30">
        <f t="shared" ref="E79:E145" si="17">SUM(C79:D79)</f>
        <v>3920</v>
      </c>
      <c r="F79" s="30">
        <v>750</v>
      </c>
      <c r="G79" s="30">
        <f>-1000</f>
        <v>-1000</v>
      </c>
      <c r="H79" s="32">
        <f t="shared" ref="H79:H82" si="18">SUM(E79:G79)</f>
        <v>3670</v>
      </c>
      <c r="I79" s="30">
        <v>50</v>
      </c>
      <c r="J79" s="30">
        <f>-2</f>
        <v>-2</v>
      </c>
      <c r="K79" s="33">
        <f t="shared" si="16"/>
        <v>3718</v>
      </c>
    </row>
    <row r="80" spans="1:11" ht="30.75" customHeight="1" x14ac:dyDescent="0.25">
      <c r="A80" s="34" t="s">
        <v>89</v>
      </c>
      <c r="B80" s="132" t="s">
        <v>90</v>
      </c>
      <c r="C80" s="36">
        <v>5800</v>
      </c>
      <c r="D80" s="31">
        <v>0</v>
      </c>
      <c r="E80" s="30">
        <f t="shared" si="17"/>
        <v>5800</v>
      </c>
      <c r="F80" s="30">
        <v>200</v>
      </c>
      <c r="G80" s="30">
        <v>0</v>
      </c>
      <c r="H80" s="32">
        <f t="shared" si="18"/>
        <v>6000</v>
      </c>
      <c r="I80" s="30">
        <v>0</v>
      </c>
      <c r="J80" s="30">
        <v>0</v>
      </c>
      <c r="K80" s="33">
        <f t="shared" si="16"/>
        <v>6000</v>
      </c>
    </row>
    <row r="81" spans="1:11" ht="24.75" customHeight="1" x14ac:dyDescent="0.25">
      <c r="A81" s="28" t="s">
        <v>91</v>
      </c>
      <c r="B81" s="137" t="s">
        <v>92</v>
      </c>
      <c r="C81" s="36">
        <v>1710</v>
      </c>
      <c r="D81" s="31">
        <v>0</v>
      </c>
      <c r="E81" s="30">
        <f t="shared" si="17"/>
        <v>1710</v>
      </c>
      <c r="F81" s="30">
        <v>0</v>
      </c>
      <c r="G81" s="30">
        <v>0</v>
      </c>
      <c r="H81" s="32">
        <f t="shared" si="18"/>
        <v>1710</v>
      </c>
      <c r="I81" s="30">
        <v>0</v>
      </c>
      <c r="J81" s="30">
        <v>0</v>
      </c>
      <c r="K81" s="33">
        <f t="shared" si="16"/>
        <v>1710</v>
      </c>
    </row>
    <row r="82" spans="1:11" ht="28.5" customHeight="1" x14ac:dyDescent="0.25">
      <c r="A82" s="34" t="s">
        <v>93</v>
      </c>
      <c r="B82" s="132" t="s">
        <v>94</v>
      </c>
      <c r="C82" s="36">
        <v>720</v>
      </c>
      <c r="D82" s="31">
        <v>0</v>
      </c>
      <c r="E82" s="30">
        <f t="shared" si="17"/>
        <v>720</v>
      </c>
      <c r="F82" s="30">
        <v>0</v>
      </c>
      <c r="G82" s="30">
        <v>0</v>
      </c>
      <c r="H82" s="32">
        <f t="shared" si="18"/>
        <v>720</v>
      </c>
      <c r="I82" s="30">
        <v>0</v>
      </c>
      <c r="J82" s="30">
        <v>0</v>
      </c>
      <c r="K82" s="33">
        <f t="shared" si="16"/>
        <v>720</v>
      </c>
    </row>
    <row r="83" spans="1:11" ht="17.25" customHeight="1" x14ac:dyDescent="0.25">
      <c r="A83" s="136" t="s">
        <v>95</v>
      </c>
      <c r="B83" s="102" t="s">
        <v>96</v>
      </c>
      <c r="C83" s="36">
        <v>31540</v>
      </c>
      <c r="D83" s="31">
        <v>0</v>
      </c>
      <c r="E83" s="30">
        <f t="shared" si="17"/>
        <v>31540</v>
      </c>
      <c r="F83" s="30">
        <f>900+0</f>
        <v>900</v>
      </c>
      <c r="G83" s="30">
        <v>0</v>
      </c>
      <c r="H83" s="32">
        <f>SUM(E83:G83)</f>
        <v>32440</v>
      </c>
      <c r="I83" s="30">
        <v>300</v>
      </c>
      <c r="J83" s="30">
        <v>0</v>
      </c>
      <c r="K83" s="33">
        <f t="shared" si="16"/>
        <v>32740</v>
      </c>
    </row>
    <row r="84" spans="1:11" x14ac:dyDescent="0.25">
      <c r="A84" s="135" t="s">
        <v>97</v>
      </c>
      <c r="B84" s="132" t="s">
        <v>74</v>
      </c>
      <c r="C84" s="36">
        <v>2638</v>
      </c>
      <c r="D84" s="31">
        <v>0</v>
      </c>
      <c r="E84" s="30">
        <f t="shared" si="17"/>
        <v>2638</v>
      </c>
      <c r="F84" s="30">
        <v>0</v>
      </c>
      <c r="G84" s="30">
        <v>0</v>
      </c>
      <c r="H84" s="32">
        <f t="shared" ref="H84:H149" si="19">SUM(E84:G84)</f>
        <v>2638</v>
      </c>
      <c r="I84" s="30">
        <v>150</v>
      </c>
      <c r="J84" s="30">
        <v>0</v>
      </c>
      <c r="K84" s="33">
        <f t="shared" si="16"/>
        <v>2788</v>
      </c>
    </row>
    <row r="85" spans="1:11" x14ac:dyDescent="0.25">
      <c r="A85" s="136" t="s">
        <v>98</v>
      </c>
      <c r="B85" s="132" t="s">
        <v>74</v>
      </c>
      <c r="C85" s="36">
        <v>3651</v>
      </c>
      <c r="D85" s="31">
        <v>0</v>
      </c>
      <c r="E85" s="30">
        <f t="shared" si="17"/>
        <v>3651</v>
      </c>
      <c r="F85" s="30">
        <v>0</v>
      </c>
      <c r="G85" s="30">
        <v>0</v>
      </c>
      <c r="H85" s="32">
        <f t="shared" si="19"/>
        <v>3651</v>
      </c>
      <c r="I85" s="30">
        <v>150</v>
      </c>
      <c r="J85" s="30">
        <v>0</v>
      </c>
      <c r="K85" s="33">
        <f t="shared" si="16"/>
        <v>3801</v>
      </c>
    </row>
    <row r="86" spans="1:11" x14ac:dyDescent="0.25">
      <c r="A86" s="136" t="s">
        <v>99</v>
      </c>
      <c r="B86" s="132" t="s">
        <v>100</v>
      </c>
      <c r="C86" s="36">
        <v>0</v>
      </c>
      <c r="D86" s="31"/>
      <c r="E86" s="30">
        <f>30.43</f>
        <v>30.43</v>
      </c>
      <c r="F86" s="30">
        <v>0</v>
      </c>
      <c r="G86" s="30">
        <v>0</v>
      </c>
      <c r="H86" s="32">
        <f t="shared" si="19"/>
        <v>30.43</v>
      </c>
      <c r="I86" s="30">
        <v>0</v>
      </c>
      <c r="J86" s="30">
        <v>0</v>
      </c>
      <c r="K86" s="33">
        <f t="shared" si="16"/>
        <v>30.43</v>
      </c>
    </row>
    <row r="87" spans="1:11" ht="27" customHeight="1" x14ac:dyDescent="0.25">
      <c r="A87" s="34" t="s">
        <v>101</v>
      </c>
      <c r="B87" s="132" t="s">
        <v>74</v>
      </c>
      <c r="C87" s="36">
        <v>864</v>
      </c>
      <c r="D87" s="31">
        <v>0</v>
      </c>
      <c r="E87" s="30">
        <f t="shared" si="17"/>
        <v>864</v>
      </c>
      <c r="F87" s="30">
        <v>0</v>
      </c>
      <c r="G87" s="30">
        <v>0</v>
      </c>
      <c r="H87" s="32">
        <f t="shared" si="19"/>
        <v>864</v>
      </c>
      <c r="I87" s="30">
        <v>0</v>
      </c>
      <c r="J87" s="30">
        <v>0</v>
      </c>
      <c r="K87" s="33">
        <f t="shared" si="16"/>
        <v>864</v>
      </c>
    </row>
    <row r="88" spans="1:11" ht="27" customHeight="1" x14ac:dyDescent="0.25">
      <c r="A88" s="34" t="s">
        <v>102</v>
      </c>
      <c r="B88" s="132" t="s">
        <v>74</v>
      </c>
      <c r="C88" s="36">
        <v>2940</v>
      </c>
      <c r="D88" s="31">
        <v>0</v>
      </c>
      <c r="E88" s="30">
        <f t="shared" si="17"/>
        <v>2940</v>
      </c>
      <c r="F88" s="30">
        <v>0</v>
      </c>
      <c r="G88" s="30">
        <v>0</v>
      </c>
      <c r="H88" s="32">
        <f t="shared" si="19"/>
        <v>2940</v>
      </c>
      <c r="I88" s="30">
        <v>235</v>
      </c>
      <c r="J88" s="30">
        <v>0</v>
      </c>
      <c r="K88" s="33">
        <f t="shared" si="16"/>
        <v>3175</v>
      </c>
    </row>
    <row r="89" spans="1:11" x14ac:dyDescent="0.25">
      <c r="A89" s="34" t="s">
        <v>103</v>
      </c>
      <c r="B89" s="132" t="s">
        <v>100</v>
      </c>
      <c r="C89" s="36">
        <v>0</v>
      </c>
      <c r="D89" s="31"/>
      <c r="E89" s="30">
        <f>30.72</f>
        <v>30.72</v>
      </c>
      <c r="F89" s="30">
        <v>0</v>
      </c>
      <c r="G89" s="30">
        <v>0</v>
      </c>
      <c r="H89" s="32">
        <f t="shared" si="19"/>
        <v>30.72</v>
      </c>
      <c r="I89" s="30">
        <v>0</v>
      </c>
      <c r="J89" s="30">
        <f>5</f>
        <v>5</v>
      </c>
      <c r="K89" s="33">
        <f t="shared" si="16"/>
        <v>35.72</v>
      </c>
    </row>
    <row r="90" spans="1:11" x14ac:dyDescent="0.25">
      <c r="A90" s="136" t="s">
        <v>104</v>
      </c>
      <c r="B90" s="132" t="s">
        <v>74</v>
      </c>
      <c r="C90" s="36">
        <v>2964</v>
      </c>
      <c r="D90" s="31">
        <v>0</v>
      </c>
      <c r="E90" s="30">
        <f t="shared" si="17"/>
        <v>2964</v>
      </c>
      <c r="F90" s="30">
        <v>588</v>
      </c>
      <c r="G90" s="30">
        <v>0</v>
      </c>
      <c r="H90" s="32">
        <f t="shared" si="19"/>
        <v>3552</v>
      </c>
      <c r="I90" s="30">
        <v>0</v>
      </c>
      <c r="J90" s="30">
        <v>0</v>
      </c>
      <c r="K90" s="33">
        <f t="shared" si="16"/>
        <v>3552</v>
      </c>
    </row>
    <row r="91" spans="1:11" x14ac:dyDescent="0.25">
      <c r="A91" s="136" t="s">
        <v>105</v>
      </c>
      <c r="B91" s="132" t="s">
        <v>100</v>
      </c>
      <c r="C91" s="36">
        <v>0</v>
      </c>
      <c r="D91" s="31"/>
      <c r="E91" s="30">
        <f>15.04</f>
        <v>15.04</v>
      </c>
      <c r="F91" s="30">
        <v>0</v>
      </c>
      <c r="G91" s="30">
        <v>0</v>
      </c>
      <c r="H91" s="32">
        <f t="shared" si="19"/>
        <v>15.04</v>
      </c>
      <c r="I91" s="30">
        <v>0</v>
      </c>
      <c r="J91" s="30">
        <f>5.27</f>
        <v>5.27</v>
      </c>
      <c r="K91" s="33">
        <f t="shared" si="16"/>
        <v>20.309999999999999</v>
      </c>
    </row>
    <row r="92" spans="1:11" x14ac:dyDescent="0.25">
      <c r="A92" s="136" t="s">
        <v>106</v>
      </c>
      <c r="B92" s="132" t="s">
        <v>74</v>
      </c>
      <c r="C92" s="36">
        <v>317</v>
      </c>
      <c r="D92" s="31">
        <v>0</v>
      </c>
      <c r="E92" s="30">
        <f t="shared" si="17"/>
        <v>317</v>
      </c>
      <c r="F92" s="30">
        <v>0</v>
      </c>
      <c r="G92" s="30">
        <v>0</v>
      </c>
      <c r="H92" s="32">
        <f t="shared" si="19"/>
        <v>317</v>
      </c>
      <c r="I92" s="30">
        <v>150</v>
      </c>
      <c r="J92" s="30">
        <v>0</v>
      </c>
      <c r="K92" s="33">
        <f t="shared" si="16"/>
        <v>467</v>
      </c>
    </row>
    <row r="93" spans="1:11" x14ac:dyDescent="0.25">
      <c r="A93" s="136" t="s">
        <v>107</v>
      </c>
      <c r="B93" s="132" t="s">
        <v>74</v>
      </c>
      <c r="C93" s="36">
        <v>173</v>
      </c>
      <c r="D93" s="31">
        <v>0</v>
      </c>
      <c r="E93" s="30">
        <f t="shared" si="17"/>
        <v>173</v>
      </c>
      <c r="F93" s="30">
        <v>0</v>
      </c>
      <c r="G93" s="30">
        <v>0</v>
      </c>
      <c r="H93" s="32">
        <f t="shared" si="19"/>
        <v>173</v>
      </c>
      <c r="I93" s="30">
        <v>0</v>
      </c>
      <c r="J93" s="30">
        <v>0</v>
      </c>
      <c r="K93" s="33">
        <f t="shared" si="16"/>
        <v>173</v>
      </c>
    </row>
    <row r="94" spans="1:11" x14ac:dyDescent="0.25">
      <c r="A94" s="136" t="s">
        <v>108</v>
      </c>
      <c r="B94" s="132" t="s">
        <v>74</v>
      </c>
      <c r="C94" s="36">
        <v>3367</v>
      </c>
      <c r="D94" s="31">
        <v>0</v>
      </c>
      <c r="E94" s="30">
        <f t="shared" si="17"/>
        <v>3367</v>
      </c>
      <c r="F94" s="30">
        <v>0</v>
      </c>
      <c r="G94" s="30">
        <v>0</v>
      </c>
      <c r="H94" s="32">
        <f t="shared" si="19"/>
        <v>3367</v>
      </c>
      <c r="I94" s="30">
        <v>140</v>
      </c>
      <c r="J94" s="30">
        <v>0</v>
      </c>
      <c r="K94" s="33">
        <f t="shared" si="16"/>
        <v>3507</v>
      </c>
    </row>
    <row r="95" spans="1:11" ht="16.5" customHeight="1" x14ac:dyDescent="0.25">
      <c r="A95" s="136" t="s">
        <v>109</v>
      </c>
      <c r="B95" s="132" t="s">
        <v>74</v>
      </c>
      <c r="C95" s="36">
        <v>246</v>
      </c>
      <c r="D95" s="31">
        <v>0</v>
      </c>
      <c r="E95" s="30">
        <f t="shared" si="17"/>
        <v>246</v>
      </c>
      <c r="F95" s="30">
        <v>0</v>
      </c>
      <c r="G95" s="30">
        <v>0</v>
      </c>
      <c r="H95" s="32">
        <f t="shared" si="19"/>
        <v>246</v>
      </c>
      <c r="I95" s="30">
        <v>0</v>
      </c>
      <c r="J95" s="30">
        <v>0</v>
      </c>
      <c r="K95" s="33">
        <f t="shared" si="16"/>
        <v>246</v>
      </c>
    </row>
    <row r="96" spans="1:11" x14ac:dyDescent="0.25">
      <c r="A96" s="135" t="s">
        <v>110</v>
      </c>
      <c r="B96" s="132" t="s">
        <v>74</v>
      </c>
      <c r="C96" s="36">
        <v>2770</v>
      </c>
      <c r="D96" s="31">
        <v>0</v>
      </c>
      <c r="E96" s="30">
        <f t="shared" si="17"/>
        <v>2770</v>
      </c>
      <c r="F96" s="30">
        <v>0</v>
      </c>
      <c r="G96" s="30">
        <v>0</v>
      </c>
      <c r="H96" s="32">
        <f>SUM(E96:G96)</f>
        <v>2770</v>
      </c>
      <c r="I96" s="30">
        <v>150</v>
      </c>
      <c r="J96" s="30">
        <v>0</v>
      </c>
      <c r="K96" s="33">
        <f t="shared" si="16"/>
        <v>2920</v>
      </c>
    </row>
    <row r="97" spans="1:11" x14ac:dyDescent="0.25">
      <c r="A97" s="135" t="s">
        <v>111</v>
      </c>
      <c r="B97" s="132" t="s">
        <v>100</v>
      </c>
      <c r="C97" s="36">
        <v>0</v>
      </c>
      <c r="D97" s="31"/>
      <c r="E97" s="30">
        <f>33.92</f>
        <v>33.92</v>
      </c>
      <c r="F97" s="30">
        <v>0</v>
      </c>
      <c r="G97" s="30">
        <v>0</v>
      </c>
      <c r="H97" s="32">
        <f t="shared" si="19"/>
        <v>33.92</v>
      </c>
      <c r="I97" s="30">
        <v>0</v>
      </c>
      <c r="J97" s="30">
        <f>71.87</f>
        <v>71.87</v>
      </c>
      <c r="K97" s="33">
        <f t="shared" si="16"/>
        <v>105.79</v>
      </c>
    </row>
    <row r="98" spans="1:11" x14ac:dyDescent="0.25">
      <c r="A98" s="135" t="s">
        <v>112</v>
      </c>
      <c r="B98" s="132" t="s">
        <v>74</v>
      </c>
      <c r="C98" s="36">
        <v>1808</v>
      </c>
      <c r="D98" s="31">
        <v>0</v>
      </c>
      <c r="E98" s="30">
        <f t="shared" si="17"/>
        <v>1808</v>
      </c>
      <c r="F98" s="30">
        <v>666</v>
      </c>
      <c r="G98" s="30">
        <v>0</v>
      </c>
      <c r="H98" s="32">
        <f t="shared" si="19"/>
        <v>2474</v>
      </c>
      <c r="I98" s="30">
        <v>300</v>
      </c>
      <c r="J98" s="30">
        <v>0</v>
      </c>
      <c r="K98" s="33">
        <f t="shared" si="16"/>
        <v>2774</v>
      </c>
    </row>
    <row r="99" spans="1:11" ht="18" customHeight="1" x14ac:dyDescent="0.25">
      <c r="A99" s="34" t="s">
        <v>113</v>
      </c>
      <c r="B99" s="132" t="s">
        <v>74</v>
      </c>
      <c r="C99" s="36">
        <v>6417</v>
      </c>
      <c r="D99" s="31">
        <v>0</v>
      </c>
      <c r="E99" s="30">
        <f t="shared" si="17"/>
        <v>6417</v>
      </c>
      <c r="F99" s="30">
        <v>510</v>
      </c>
      <c r="G99" s="30">
        <v>0</v>
      </c>
      <c r="H99" s="32">
        <f t="shared" si="19"/>
        <v>6927</v>
      </c>
      <c r="I99" s="30">
        <v>250</v>
      </c>
      <c r="J99" s="30">
        <v>0</v>
      </c>
      <c r="K99" s="33">
        <f t="shared" si="16"/>
        <v>7177</v>
      </c>
    </row>
    <row r="100" spans="1:11" ht="30" customHeight="1" x14ac:dyDescent="0.25">
      <c r="A100" s="34" t="s">
        <v>114</v>
      </c>
      <c r="B100" s="132" t="s">
        <v>115</v>
      </c>
      <c r="C100" s="36">
        <v>0</v>
      </c>
      <c r="D100" s="31"/>
      <c r="E100" s="30">
        <v>0</v>
      </c>
      <c r="F100" s="30">
        <v>0</v>
      </c>
      <c r="G100" s="30">
        <f>95</f>
        <v>95</v>
      </c>
      <c r="H100" s="32">
        <f>SUM(E100:G100)</f>
        <v>95</v>
      </c>
      <c r="I100" s="30">
        <v>0</v>
      </c>
      <c r="J100" s="30">
        <v>0</v>
      </c>
      <c r="K100" s="33">
        <f t="shared" si="16"/>
        <v>95</v>
      </c>
    </row>
    <row r="101" spans="1:11" ht="28.5" customHeight="1" x14ac:dyDescent="0.25">
      <c r="A101" s="34" t="s">
        <v>116</v>
      </c>
      <c r="B101" s="132" t="s">
        <v>115</v>
      </c>
      <c r="C101" s="36">
        <v>0</v>
      </c>
      <c r="D101" s="31"/>
      <c r="E101" s="30">
        <v>0</v>
      </c>
      <c r="F101" s="30">
        <v>0</v>
      </c>
      <c r="G101" s="30">
        <f>5</f>
        <v>5</v>
      </c>
      <c r="H101" s="32">
        <f>SUM(E101:G101)</f>
        <v>5</v>
      </c>
      <c r="I101" s="30">
        <v>0</v>
      </c>
      <c r="J101" s="30">
        <v>0</v>
      </c>
      <c r="K101" s="33">
        <f t="shared" si="16"/>
        <v>5</v>
      </c>
    </row>
    <row r="102" spans="1:11" ht="25.5" x14ac:dyDescent="0.25">
      <c r="A102" s="34" t="s">
        <v>117</v>
      </c>
      <c r="B102" s="132" t="s">
        <v>74</v>
      </c>
      <c r="C102" s="36">
        <v>6103</v>
      </c>
      <c r="D102" s="31">
        <v>0</v>
      </c>
      <c r="E102" s="30">
        <f t="shared" si="17"/>
        <v>6103</v>
      </c>
      <c r="F102" s="30">
        <v>314</v>
      </c>
      <c r="G102" s="30">
        <v>0</v>
      </c>
      <c r="H102" s="32">
        <f t="shared" si="19"/>
        <v>6417</v>
      </c>
      <c r="I102" s="30">
        <v>0</v>
      </c>
      <c r="J102" s="30">
        <v>0</v>
      </c>
      <c r="K102" s="33">
        <f t="shared" si="16"/>
        <v>6417</v>
      </c>
    </row>
    <row r="103" spans="1:11" x14ac:dyDescent="0.25">
      <c r="A103" s="28" t="s">
        <v>349</v>
      </c>
      <c r="B103" s="132" t="s">
        <v>350</v>
      </c>
      <c r="C103" s="36">
        <v>0</v>
      </c>
      <c r="D103" s="31"/>
      <c r="E103" s="30"/>
      <c r="F103" s="30"/>
      <c r="G103" s="30"/>
      <c r="H103" s="32">
        <v>0</v>
      </c>
      <c r="I103" s="30">
        <v>0</v>
      </c>
      <c r="J103" s="30">
        <f>96</f>
        <v>96</v>
      </c>
      <c r="K103" s="33">
        <f>SUM(H103:J103)</f>
        <v>96</v>
      </c>
    </row>
    <row r="104" spans="1:11" x14ac:dyDescent="0.25">
      <c r="A104" s="135" t="s">
        <v>118</v>
      </c>
      <c r="B104" s="132" t="s">
        <v>74</v>
      </c>
      <c r="C104" s="36">
        <v>2341</v>
      </c>
      <c r="D104" s="31">
        <v>0</v>
      </c>
      <c r="E104" s="30">
        <f t="shared" si="17"/>
        <v>2341</v>
      </c>
      <c r="F104" s="30">
        <v>100</v>
      </c>
      <c r="G104" s="30">
        <v>0</v>
      </c>
      <c r="H104" s="32">
        <f t="shared" si="19"/>
        <v>2441</v>
      </c>
      <c r="I104" s="30">
        <v>100</v>
      </c>
      <c r="J104" s="30">
        <v>0</v>
      </c>
      <c r="K104" s="33">
        <f t="shared" si="16"/>
        <v>2541</v>
      </c>
    </row>
    <row r="105" spans="1:11" x14ac:dyDescent="0.25">
      <c r="A105" s="136" t="s">
        <v>119</v>
      </c>
      <c r="B105" s="132" t="s">
        <v>74</v>
      </c>
      <c r="C105" s="36">
        <v>4048</v>
      </c>
      <c r="D105" s="31">
        <v>0</v>
      </c>
      <c r="E105" s="30">
        <f t="shared" si="17"/>
        <v>4048</v>
      </c>
      <c r="F105" s="30">
        <v>224</v>
      </c>
      <c r="G105" s="30">
        <v>0</v>
      </c>
      <c r="H105" s="32">
        <f t="shared" si="19"/>
        <v>4272</v>
      </c>
      <c r="I105" s="30">
        <v>0</v>
      </c>
      <c r="J105" s="30">
        <v>0</v>
      </c>
      <c r="K105" s="33">
        <f t="shared" si="16"/>
        <v>4272</v>
      </c>
    </row>
    <row r="106" spans="1:11" ht="35.25" customHeight="1" x14ac:dyDescent="0.25">
      <c r="A106" s="34" t="s">
        <v>120</v>
      </c>
      <c r="B106" s="132" t="s">
        <v>74</v>
      </c>
      <c r="C106" s="36">
        <v>10059</v>
      </c>
      <c r="D106" s="31">
        <v>0</v>
      </c>
      <c r="E106" s="30">
        <f t="shared" si="17"/>
        <v>10059</v>
      </c>
      <c r="F106" s="30">
        <v>564</v>
      </c>
      <c r="G106" s="30">
        <v>0</v>
      </c>
      <c r="H106" s="32">
        <f t="shared" si="19"/>
        <v>10623</v>
      </c>
      <c r="I106" s="30">
        <v>-784</v>
      </c>
      <c r="J106" s="30">
        <v>0</v>
      </c>
      <c r="K106" s="33">
        <f t="shared" si="16"/>
        <v>9839</v>
      </c>
    </row>
    <row r="107" spans="1:11" ht="39" customHeight="1" x14ac:dyDescent="0.25">
      <c r="A107" s="34" t="s">
        <v>121</v>
      </c>
      <c r="B107" s="132" t="s">
        <v>122</v>
      </c>
      <c r="C107" s="36">
        <v>0</v>
      </c>
      <c r="D107" s="31"/>
      <c r="E107" s="30"/>
      <c r="F107" s="30"/>
      <c r="G107" s="30"/>
      <c r="H107" s="32">
        <v>0</v>
      </c>
      <c r="I107" s="30">
        <v>18.91</v>
      </c>
      <c r="J107" s="30">
        <v>0</v>
      </c>
      <c r="K107" s="33">
        <f t="shared" si="16"/>
        <v>18.91</v>
      </c>
    </row>
    <row r="108" spans="1:11" ht="17.25" customHeight="1" x14ac:dyDescent="0.25">
      <c r="A108" s="34" t="s">
        <v>123</v>
      </c>
      <c r="B108" s="132" t="s">
        <v>100</v>
      </c>
      <c r="C108" s="36">
        <v>0</v>
      </c>
      <c r="D108" s="31"/>
      <c r="E108" s="30">
        <f>74.55</f>
        <v>74.55</v>
      </c>
      <c r="F108" s="30">
        <v>0</v>
      </c>
      <c r="G108" s="30">
        <v>0</v>
      </c>
      <c r="H108" s="32">
        <f t="shared" si="19"/>
        <v>74.55</v>
      </c>
      <c r="I108" s="30">
        <v>0</v>
      </c>
      <c r="J108" s="30">
        <v>0</v>
      </c>
      <c r="K108" s="33">
        <f t="shared" si="16"/>
        <v>74.55</v>
      </c>
    </row>
    <row r="109" spans="1:11" x14ac:dyDescent="0.25">
      <c r="A109" s="136" t="s">
        <v>124</v>
      </c>
      <c r="B109" s="132" t="s">
        <v>74</v>
      </c>
      <c r="C109" s="36">
        <v>7008</v>
      </c>
      <c r="D109" s="31">
        <v>0</v>
      </c>
      <c r="E109" s="30">
        <f t="shared" si="17"/>
        <v>7008</v>
      </c>
      <c r="F109" s="30">
        <v>422</v>
      </c>
      <c r="G109" s="30">
        <v>0</v>
      </c>
      <c r="H109" s="32">
        <f t="shared" si="19"/>
        <v>7430</v>
      </c>
      <c r="I109" s="30">
        <v>0</v>
      </c>
      <c r="J109" s="30">
        <v>0</v>
      </c>
      <c r="K109" s="33">
        <f t="shared" si="16"/>
        <v>7430</v>
      </c>
    </row>
    <row r="110" spans="1:11" x14ac:dyDescent="0.25">
      <c r="A110" s="136" t="s">
        <v>125</v>
      </c>
      <c r="B110" s="132" t="s">
        <v>74</v>
      </c>
      <c r="C110" s="36">
        <v>9244</v>
      </c>
      <c r="D110" s="31">
        <v>0</v>
      </c>
      <c r="E110" s="30">
        <f t="shared" si="17"/>
        <v>9244</v>
      </c>
      <c r="F110" s="30">
        <v>323</v>
      </c>
      <c r="G110" s="30">
        <v>0</v>
      </c>
      <c r="H110" s="32">
        <f t="shared" si="19"/>
        <v>9567</v>
      </c>
      <c r="I110" s="30">
        <v>0</v>
      </c>
      <c r="J110" s="30">
        <v>0</v>
      </c>
      <c r="K110" s="33">
        <f t="shared" si="16"/>
        <v>9567</v>
      </c>
    </row>
    <row r="111" spans="1:11" x14ac:dyDescent="0.25">
      <c r="A111" s="136" t="s">
        <v>126</v>
      </c>
      <c r="B111" s="132" t="s">
        <v>74</v>
      </c>
      <c r="C111" s="36">
        <v>6269</v>
      </c>
      <c r="D111" s="31">
        <v>0</v>
      </c>
      <c r="E111" s="30">
        <f t="shared" si="17"/>
        <v>6269</v>
      </c>
      <c r="F111" s="30">
        <v>467</v>
      </c>
      <c r="G111" s="30">
        <v>0</v>
      </c>
      <c r="H111" s="32">
        <f t="shared" si="19"/>
        <v>6736</v>
      </c>
      <c r="I111" s="30">
        <v>0</v>
      </c>
      <c r="J111" s="30">
        <v>0</v>
      </c>
      <c r="K111" s="33">
        <f t="shared" si="16"/>
        <v>6736</v>
      </c>
    </row>
    <row r="112" spans="1:11" x14ac:dyDescent="0.25">
      <c r="A112" s="136" t="s">
        <v>127</v>
      </c>
      <c r="B112" s="132" t="s">
        <v>74</v>
      </c>
      <c r="C112" s="36">
        <v>2373</v>
      </c>
      <c r="D112" s="31">
        <v>0</v>
      </c>
      <c r="E112" s="30">
        <f t="shared" si="17"/>
        <v>2373</v>
      </c>
      <c r="F112" s="30">
        <v>172</v>
      </c>
      <c r="G112" s="30">
        <v>0</v>
      </c>
      <c r="H112" s="32">
        <f t="shared" si="19"/>
        <v>2545</v>
      </c>
      <c r="I112" s="30">
        <v>0</v>
      </c>
      <c r="J112" s="30">
        <v>0</v>
      </c>
      <c r="K112" s="33">
        <f t="shared" si="16"/>
        <v>2545</v>
      </c>
    </row>
    <row r="113" spans="1:11" x14ac:dyDescent="0.25">
      <c r="A113" s="136" t="s">
        <v>351</v>
      </c>
      <c r="B113" s="132" t="s">
        <v>352</v>
      </c>
      <c r="C113" s="36">
        <v>0</v>
      </c>
      <c r="D113" s="31"/>
      <c r="E113" s="30"/>
      <c r="F113" s="30"/>
      <c r="G113" s="30"/>
      <c r="H113" s="32">
        <v>0</v>
      </c>
      <c r="I113" s="30">
        <v>0</v>
      </c>
      <c r="J113" s="30">
        <f>68.7</f>
        <v>68.7</v>
      </c>
      <c r="K113" s="33">
        <f>SUM(H113:J113)</f>
        <v>68.7</v>
      </c>
    </row>
    <row r="114" spans="1:11" ht="15.75" customHeight="1" x14ac:dyDescent="0.25">
      <c r="A114" s="136" t="s">
        <v>128</v>
      </c>
      <c r="B114" s="132" t="s">
        <v>74</v>
      </c>
      <c r="C114" s="36">
        <v>1291</v>
      </c>
      <c r="D114" s="31">
        <v>0</v>
      </c>
      <c r="E114" s="30">
        <f t="shared" si="17"/>
        <v>1291</v>
      </c>
      <c r="F114" s="30">
        <v>100</v>
      </c>
      <c r="G114" s="30">
        <v>0</v>
      </c>
      <c r="H114" s="32">
        <f t="shared" si="19"/>
        <v>1391</v>
      </c>
      <c r="I114" s="30">
        <v>0</v>
      </c>
      <c r="J114" s="30">
        <v>0</v>
      </c>
      <c r="K114" s="33">
        <f t="shared" si="16"/>
        <v>1391</v>
      </c>
    </row>
    <row r="115" spans="1:11" x14ac:dyDescent="0.25">
      <c r="A115" s="136" t="s">
        <v>129</v>
      </c>
      <c r="B115" s="132" t="s">
        <v>74</v>
      </c>
      <c r="C115" s="36">
        <v>10249</v>
      </c>
      <c r="D115" s="31">
        <v>0</v>
      </c>
      <c r="E115" s="30">
        <f t="shared" si="17"/>
        <v>10249</v>
      </c>
      <c r="F115" s="30">
        <v>458</v>
      </c>
      <c r="G115" s="30">
        <v>0</v>
      </c>
      <c r="H115" s="32">
        <f t="shared" si="19"/>
        <v>10707</v>
      </c>
      <c r="I115" s="30">
        <v>0</v>
      </c>
      <c r="J115" s="30">
        <v>0</v>
      </c>
      <c r="K115" s="33">
        <f t="shared" si="16"/>
        <v>10707</v>
      </c>
    </row>
    <row r="116" spans="1:11" x14ac:dyDescent="0.25">
      <c r="A116" s="135" t="s">
        <v>130</v>
      </c>
      <c r="B116" s="132" t="s">
        <v>100</v>
      </c>
      <c r="C116" s="36">
        <v>0</v>
      </c>
      <c r="D116" s="31"/>
      <c r="E116" s="30">
        <f>38.91</f>
        <v>38.909999999999997</v>
      </c>
      <c r="F116" s="30">
        <v>0</v>
      </c>
      <c r="G116" s="30">
        <v>0</v>
      </c>
      <c r="H116" s="32">
        <f t="shared" si="19"/>
        <v>38.909999999999997</v>
      </c>
      <c r="I116" s="30">
        <v>0</v>
      </c>
      <c r="J116" s="30">
        <f>2.04</f>
        <v>2.04</v>
      </c>
      <c r="K116" s="33">
        <f t="shared" si="16"/>
        <v>40.949999999999996</v>
      </c>
    </row>
    <row r="117" spans="1:11" x14ac:dyDescent="0.25">
      <c r="A117" s="135" t="s">
        <v>131</v>
      </c>
      <c r="B117" s="132" t="s">
        <v>74</v>
      </c>
      <c r="C117" s="36">
        <v>1567</v>
      </c>
      <c r="D117" s="31">
        <v>0</v>
      </c>
      <c r="E117" s="30">
        <f t="shared" si="17"/>
        <v>1567</v>
      </c>
      <c r="F117" s="30">
        <v>187</v>
      </c>
      <c r="G117" s="30">
        <v>0</v>
      </c>
      <c r="H117" s="32">
        <f t="shared" si="19"/>
        <v>1754</v>
      </c>
      <c r="I117" s="30">
        <v>0</v>
      </c>
      <c r="J117" s="30">
        <v>0</v>
      </c>
      <c r="K117" s="33">
        <f t="shared" si="16"/>
        <v>1754</v>
      </c>
    </row>
    <row r="118" spans="1:11" x14ac:dyDescent="0.25">
      <c r="A118" s="136" t="s">
        <v>132</v>
      </c>
      <c r="B118" s="132" t="s">
        <v>74</v>
      </c>
      <c r="C118" s="36">
        <v>1647</v>
      </c>
      <c r="D118" s="31">
        <v>0</v>
      </c>
      <c r="E118" s="30">
        <f t="shared" si="17"/>
        <v>1647</v>
      </c>
      <c r="F118" s="30">
        <v>0</v>
      </c>
      <c r="G118" s="30">
        <v>0</v>
      </c>
      <c r="H118" s="32">
        <f t="shared" si="19"/>
        <v>1647</v>
      </c>
      <c r="I118" s="30">
        <v>0</v>
      </c>
      <c r="J118" s="30">
        <v>0</v>
      </c>
      <c r="K118" s="33">
        <f t="shared" si="16"/>
        <v>1647</v>
      </c>
    </row>
    <row r="119" spans="1:11" x14ac:dyDescent="0.25">
      <c r="A119" s="135" t="s">
        <v>133</v>
      </c>
      <c r="B119" s="132" t="s">
        <v>74</v>
      </c>
      <c r="C119" s="36">
        <v>0</v>
      </c>
      <c r="D119" s="31"/>
      <c r="E119" s="30"/>
      <c r="F119" s="30"/>
      <c r="G119" s="30"/>
      <c r="H119" s="32">
        <f>188</f>
        <v>188</v>
      </c>
      <c r="I119" s="30">
        <v>0</v>
      </c>
      <c r="J119" s="30">
        <v>0</v>
      </c>
      <c r="K119" s="33">
        <f t="shared" si="16"/>
        <v>188</v>
      </c>
    </row>
    <row r="120" spans="1:11" x14ac:dyDescent="0.25">
      <c r="A120" s="135" t="s">
        <v>354</v>
      </c>
      <c r="B120" s="132" t="s">
        <v>74</v>
      </c>
      <c r="C120" s="36">
        <v>0</v>
      </c>
      <c r="D120" s="31"/>
      <c r="E120" s="30"/>
      <c r="F120" s="30"/>
      <c r="G120" s="30"/>
      <c r="H120" s="32">
        <v>0</v>
      </c>
      <c r="I120" s="30">
        <v>0</v>
      </c>
      <c r="J120" s="30">
        <f>242.77</f>
        <v>242.77</v>
      </c>
      <c r="K120" s="33">
        <f>SUM(H120:J120)</f>
        <v>242.77</v>
      </c>
    </row>
    <row r="121" spans="1:11" x14ac:dyDescent="0.25">
      <c r="A121" s="135" t="s">
        <v>134</v>
      </c>
      <c r="B121" s="132" t="s">
        <v>74</v>
      </c>
      <c r="C121" s="36">
        <v>275</v>
      </c>
      <c r="D121" s="31">
        <v>0</v>
      </c>
      <c r="E121" s="30">
        <f t="shared" si="17"/>
        <v>275</v>
      </c>
      <c r="F121" s="30">
        <v>0</v>
      </c>
      <c r="G121" s="30">
        <v>0</v>
      </c>
      <c r="H121" s="32">
        <f t="shared" si="19"/>
        <v>275</v>
      </c>
      <c r="I121" s="30">
        <v>0</v>
      </c>
      <c r="J121" s="30">
        <v>0</v>
      </c>
      <c r="K121" s="33">
        <f t="shared" si="16"/>
        <v>275</v>
      </c>
    </row>
    <row r="122" spans="1:11" ht="15.75" customHeight="1" x14ac:dyDescent="0.25">
      <c r="A122" s="135" t="s">
        <v>135</v>
      </c>
      <c r="B122" s="132" t="s">
        <v>74</v>
      </c>
      <c r="C122" s="36">
        <v>16616</v>
      </c>
      <c r="D122" s="31">
        <v>0</v>
      </c>
      <c r="E122" s="30">
        <f t="shared" si="17"/>
        <v>16616</v>
      </c>
      <c r="F122" s="30">
        <v>0</v>
      </c>
      <c r="G122" s="30">
        <v>0</v>
      </c>
      <c r="H122" s="32">
        <f t="shared" si="19"/>
        <v>16616</v>
      </c>
      <c r="I122" s="30">
        <v>1039</v>
      </c>
      <c r="J122" s="30">
        <v>0</v>
      </c>
      <c r="K122" s="33">
        <f t="shared" si="16"/>
        <v>17655</v>
      </c>
    </row>
    <row r="123" spans="1:11" ht="15.75" customHeight="1" x14ac:dyDescent="0.25">
      <c r="A123" s="135" t="s">
        <v>136</v>
      </c>
      <c r="B123" s="132" t="s">
        <v>74</v>
      </c>
      <c r="C123" s="36">
        <v>0</v>
      </c>
      <c r="D123" s="31"/>
      <c r="E123" s="30">
        <v>0</v>
      </c>
      <c r="F123" s="30">
        <v>0</v>
      </c>
      <c r="G123" s="30">
        <f>1678</f>
        <v>1678</v>
      </c>
      <c r="H123" s="32">
        <f>SUM(E123:G123)</f>
        <v>1678</v>
      </c>
      <c r="I123" s="30">
        <v>0</v>
      </c>
      <c r="J123" s="30">
        <v>0</v>
      </c>
      <c r="K123" s="33">
        <f t="shared" si="16"/>
        <v>1678</v>
      </c>
    </row>
    <row r="124" spans="1:11" ht="15.75" customHeight="1" x14ac:dyDescent="0.25">
      <c r="A124" s="135" t="s">
        <v>353</v>
      </c>
      <c r="B124" s="132" t="s">
        <v>74</v>
      </c>
      <c r="C124" s="36">
        <v>0</v>
      </c>
      <c r="D124" s="31"/>
      <c r="E124" s="30"/>
      <c r="F124" s="30"/>
      <c r="G124" s="30"/>
      <c r="H124" s="32">
        <v>0</v>
      </c>
      <c r="I124" s="30">
        <v>0</v>
      </c>
      <c r="J124" s="30">
        <f>159</f>
        <v>159</v>
      </c>
      <c r="K124" s="33">
        <f>SUM(H124:J124)</f>
        <v>159</v>
      </c>
    </row>
    <row r="125" spans="1:11" ht="15.75" customHeight="1" x14ac:dyDescent="0.25">
      <c r="A125" s="135" t="s">
        <v>137</v>
      </c>
      <c r="B125" s="132" t="s">
        <v>74</v>
      </c>
      <c r="C125" s="36">
        <v>0</v>
      </c>
      <c r="D125" s="31"/>
      <c r="E125" s="30"/>
      <c r="F125" s="30"/>
      <c r="G125" s="30"/>
      <c r="H125" s="32">
        <v>0</v>
      </c>
      <c r="I125" s="30">
        <v>0</v>
      </c>
      <c r="J125" s="30">
        <f>12</f>
        <v>12</v>
      </c>
      <c r="K125" s="33">
        <f>SUM(H125:J125)</f>
        <v>12</v>
      </c>
    </row>
    <row r="126" spans="1:11" x14ac:dyDescent="0.25">
      <c r="A126" s="136" t="s">
        <v>138</v>
      </c>
      <c r="B126" s="132" t="s">
        <v>74</v>
      </c>
      <c r="C126" s="36">
        <v>21765</v>
      </c>
      <c r="D126" s="31">
        <v>0</v>
      </c>
      <c r="E126" s="30">
        <f t="shared" si="17"/>
        <v>21765</v>
      </c>
      <c r="F126" s="30">
        <v>0</v>
      </c>
      <c r="G126" s="30">
        <v>0</v>
      </c>
      <c r="H126" s="32">
        <f t="shared" si="19"/>
        <v>21765</v>
      </c>
      <c r="I126" s="30">
        <v>0</v>
      </c>
      <c r="J126" s="30">
        <v>0</v>
      </c>
      <c r="K126" s="33">
        <f t="shared" si="16"/>
        <v>21765</v>
      </c>
    </row>
    <row r="127" spans="1:11" ht="77.25" customHeight="1" x14ac:dyDescent="0.25">
      <c r="A127" s="34" t="s">
        <v>139</v>
      </c>
      <c r="B127" s="132" t="s">
        <v>140</v>
      </c>
      <c r="C127" s="36">
        <v>0</v>
      </c>
      <c r="D127" s="31"/>
      <c r="E127" s="30">
        <v>0</v>
      </c>
      <c r="F127" s="30">
        <v>150</v>
      </c>
      <c r="G127" s="30">
        <v>0</v>
      </c>
      <c r="H127" s="32">
        <f t="shared" si="19"/>
        <v>150</v>
      </c>
      <c r="I127" s="30">
        <v>0</v>
      </c>
      <c r="J127" s="30">
        <v>0</v>
      </c>
      <c r="K127" s="33">
        <f t="shared" si="16"/>
        <v>150</v>
      </c>
    </row>
    <row r="128" spans="1:11" ht="28.5" customHeight="1" x14ac:dyDescent="0.25">
      <c r="A128" s="34" t="s">
        <v>141</v>
      </c>
      <c r="B128" s="132" t="s">
        <v>142</v>
      </c>
      <c r="C128" s="36">
        <v>0</v>
      </c>
      <c r="D128" s="31"/>
      <c r="E128" s="30">
        <v>0</v>
      </c>
      <c r="F128" s="30">
        <v>200</v>
      </c>
      <c r="G128" s="30">
        <v>0</v>
      </c>
      <c r="H128" s="32">
        <f t="shared" si="19"/>
        <v>200</v>
      </c>
      <c r="I128" s="30">
        <v>0</v>
      </c>
      <c r="J128" s="30">
        <v>0</v>
      </c>
      <c r="K128" s="33">
        <f t="shared" si="16"/>
        <v>200</v>
      </c>
    </row>
    <row r="129" spans="1:11" ht="16.5" customHeight="1" x14ac:dyDescent="0.25">
      <c r="A129" s="136" t="s">
        <v>143</v>
      </c>
      <c r="B129" s="132" t="s">
        <v>74</v>
      </c>
      <c r="C129" s="36">
        <v>400</v>
      </c>
      <c r="D129" s="31">
        <v>0</v>
      </c>
      <c r="E129" s="30">
        <f t="shared" si="17"/>
        <v>400</v>
      </c>
      <c r="F129" s="30">
        <v>0</v>
      </c>
      <c r="G129" s="30">
        <v>0</v>
      </c>
      <c r="H129" s="32">
        <f t="shared" si="19"/>
        <v>400</v>
      </c>
      <c r="I129" s="30">
        <v>0</v>
      </c>
      <c r="J129" s="30">
        <v>0</v>
      </c>
      <c r="K129" s="33">
        <f t="shared" si="16"/>
        <v>400</v>
      </c>
    </row>
    <row r="130" spans="1:11" ht="17.25" customHeight="1" x14ac:dyDescent="0.25">
      <c r="A130" s="28" t="s">
        <v>144</v>
      </c>
      <c r="B130" s="132" t="s">
        <v>74</v>
      </c>
      <c r="C130" s="36">
        <v>137.4</v>
      </c>
      <c r="D130" s="31">
        <v>0</v>
      </c>
      <c r="E130" s="30">
        <f t="shared" si="17"/>
        <v>137.4</v>
      </c>
      <c r="F130" s="30">
        <v>0</v>
      </c>
      <c r="G130" s="30">
        <v>0</v>
      </c>
      <c r="H130" s="32">
        <f t="shared" si="19"/>
        <v>137.4</v>
      </c>
      <c r="I130" s="30">
        <v>0</v>
      </c>
      <c r="J130" s="30">
        <v>0</v>
      </c>
      <c r="K130" s="33">
        <f t="shared" si="16"/>
        <v>137.4</v>
      </c>
    </row>
    <row r="131" spans="1:11" ht="30" customHeight="1" x14ac:dyDescent="0.25">
      <c r="A131" s="28" t="s">
        <v>145</v>
      </c>
      <c r="B131" s="132" t="s">
        <v>74</v>
      </c>
      <c r="C131" s="36">
        <v>200</v>
      </c>
      <c r="D131" s="31">
        <v>0</v>
      </c>
      <c r="E131" s="30">
        <f t="shared" si="17"/>
        <v>200</v>
      </c>
      <c r="F131" s="30">
        <v>0</v>
      </c>
      <c r="G131" s="30">
        <v>0</v>
      </c>
      <c r="H131" s="32">
        <f t="shared" si="19"/>
        <v>200</v>
      </c>
      <c r="I131" s="30">
        <v>0</v>
      </c>
      <c r="J131" s="30">
        <v>0</v>
      </c>
      <c r="K131" s="33">
        <f t="shared" si="16"/>
        <v>200</v>
      </c>
    </row>
    <row r="132" spans="1:11" ht="16.5" customHeight="1" x14ac:dyDescent="0.25">
      <c r="A132" s="28" t="s">
        <v>146</v>
      </c>
      <c r="B132" s="132" t="s">
        <v>147</v>
      </c>
      <c r="C132" s="36">
        <v>50</v>
      </c>
      <c r="D132" s="31">
        <v>0</v>
      </c>
      <c r="E132" s="30">
        <f t="shared" si="17"/>
        <v>50</v>
      </c>
      <c r="F132" s="30">
        <v>0</v>
      </c>
      <c r="G132" s="30">
        <v>0</v>
      </c>
      <c r="H132" s="32">
        <f t="shared" si="19"/>
        <v>50</v>
      </c>
      <c r="I132" s="30">
        <v>0</v>
      </c>
      <c r="J132" s="30">
        <v>0</v>
      </c>
      <c r="K132" s="33">
        <f t="shared" si="16"/>
        <v>50</v>
      </c>
    </row>
    <row r="133" spans="1:11" ht="26.25" customHeight="1" x14ac:dyDescent="0.25">
      <c r="A133" s="34" t="s">
        <v>148</v>
      </c>
      <c r="B133" s="132" t="s">
        <v>74</v>
      </c>
      <c r="C133" s="36">
        <v>1700</v>
      </c>
      <c r="D133" s="31">
        <v>0</v>
      </c>
      <c r="E133" s="30">
        <f t="shared" si="17"/>
        <v>1700</v>
      </c>
      <c r="F133" s="30">
        <v>0</v>
      </c>
      <c r="G133" s="30">
        <v>0</v>
      </c>
      <c r="H133" s="32">
        <f t="shared" si="19"/>
        <v>1700</v>
      </c>
      <c r="I133" s="30">
        <v>0</v>
      </c>
      <c r="J133" s="30">
        <v>0</v>
      </c>
      <c r="K133" s="33">
        <f t="shared" si="16"/>
        <v>1700</v>
      </c>
    </row>
    <row r="134" spans="1:11" ht="18.75" customHeight="1" x14ac:dyDescent="0.25">
      <c r="A134" s="34" t="s">
        <v>149</v>
      </c>
      <c r="B134" s="132" t="s">
        <v>74</v>
      </c>
      <c r="C134" s="36">
        <v>1700</v>
      </c>
      <c r="D134" s="31">
        <v>0</v>
      </c>
      <c r="E134" s="30">
        <f t="shared" si="17"/>
        <v>1700</v>
      </c>
      <c r="F134" s="30">
        <v>0</v>
      </c>
      <c r="G134" s="30">
        <v>0</v>
      </c>
      <c r="H134" s="32">
        <f t="shared" si="19"/>
        <v>1700</v>
      </c>
      <c r="I134" s="30">
        <v>0</v>
      </c>
      <c r="J134" s="30">
        <v>0</v>
      </c>
      <c r="K134" s="33">
        <f t="shared" si="16"/>
        <v>1700</v>
      </c>
    </row>
    <row r="135" spans="1:11" ht="26.25" customHeight="1" x14ac:dyDescent="0.25">
      <c r="A135" s="34" t="s">
        <v>150</v>
      </c>
      <c r="B135" s="132" t="s">
        <v>74</v>
      </c>
      <c r="C135" s="36">
        <v>85</v>
      </c>
      <c r="D135" s="31">
        <v>0</v>
      </c>
      <c r="E135" s="30">
        <f t="shared" si="17"/>
        <v>85</v>
      </c>
      <c r="F135" s="30">
        <v>0</v>
      </c>
      <c r="G135" s="30">
        <v>0</v>
      </c>
      <c r="H135" s="32">
        <f t="shared" si="19"/>
        <v>85</v>
      </c>
      <c r="I135" s="30">
        <v>0</v>
      </c>
      <c r="J135" s="30">
        <v>0</v>
      </c>
      <c r="K135" s="33">
        <f t="shared" si="16"/>
        <v>85</v>
      </c>
    </row>
    <row r="136" spans="1:11" ht="18.75" customHeight="1" x14ac:dyDescent="0.25">
      <c r="A136" s="34" t="s">
        <v>151</v>
      </c>
      <c r="B136" s="132" t="s">
        <v>74</v>
      </c>
      <c r="C136" s="36">
        <v>1700</v>
      </c>
      <c r="D136" s="31">
        <v>0</v>
      </c>
      <c r="E136" s="30">
        <f t="shared" si="17"/>
        <v>1700</v>
      </c>
      <c r="F136" s="30">
        <v>0</v>
      </c>
      <c r="G136" s="30">
        <v>0</v>
      </c>
      <c r="H136" s="32">
        <f t="shared" si="19"/>
        <v>1700</v>
      </c>
      <c r="I136" s="30">
        <v>0</v>
      </c>
      <c r="J136" s="30">
        <v>0</v>
      </c>
      <c r="K136" s="33">
        <f t="shared" si="16"/>
        <v>1700</v>
      </c>
    </row>
    <row r="137" spans="1:11" ht="26.25" customHeight="1" x14ac:dyDescent="0.25">
      <c r="A137" s="28" t="s">
        <v>152</v>
      </c>
      <c r="B137" s="132" t="s">
        <v>74</v>
      </c>
      <c r="C137" s="36">
        <v>1700</v>
      </c>
      <c r="D137" s="31">
        <v>0</v>
      </c>
      <c r="E137" s="30">
        <f t="shared" si="17"/>
        <v>1700</v>
      </c>
      <c r="F137" s="30">
        <v>0</v>
      </c>
      <c r="G137" s="30">
        <v>0</v>
      </c>
      <c r="H137" s="32">
        <f t="shared" si="19"/>
        <v>1700</v>
      </c>
      <c r="I137" s="30">
        <v>0</v>
      </c>
      <c r="J137" s="30">
        <v>0</v>
      </c>
      <c r="K137" s="33">
        <f t="shared" si="16"/>
        <v>1700</v>
      </c>
    </row>
    <row r="138" spans="1:11" ht="17.25" customHeight="1" x14ac:dyDescent="0.25">
      <c r="A138" s="34" t="s">
        <v>153</v>
      </c>
      <c r="B138" s="132" t="s">
        <v>74</v>
      </c>
      <c r="C138" s="36">
        <v>500</v>
      </c>
      <c r="D138" s="31">
        <v>0</v>
      </c>
      <c r="E138" s="30">
        <f t="shared" si="17"/>
        <v>500</v>
      </c>
      <c r="F138" s="30">
        <v>0</v>
      </c>
      <c r="G138" s="30">
        <v>0</v>
      </c>
      <c r="H138" s="32">
        <f t="shared" si="19"/>
        <v>500</v>
      </c>
      <c r="I138" s="30">
        <v>0</v>
      </c>
      <c r="J138" s="30">
        <v>0</v>
      </c>
      <c r="K138" s="33">
        <f t="shared" si="16"/>
        <v>500</v>
      </c>
    </row>
    <row r="139" spans="1:11" ht="15" customHeight="1" x14ac:dyDescent="0.25">
      <c r="A139" s="136" t="s">
        <v>154</v>
      </c>
      <c r="B139" s="132" t="s">
        <v>74</v>
      </c>
      <c r="C139" s="36">
        <v>250</v>
      </c>
      <c r="D139" s="31">
        <v>0</v>
      </c>
      <c r="E139" s="30">
        <f t="shared" si="17"/>
        <v>250</v>
      </c>
      <c r="F139" s="30">
        <v>0</v>
      </c>
      <c r="G139" s="30">
        <v>0</v>
      </c>
      <c r="H139" s="32">
        <f t="shared" si="19"/>
        <v>250</v>
      </c>
      <c r="I139" s="30">
        <v>0</v>
      </c>
      <c r="J139" s="30">
        <v>0</v>
      </c>
      <c r="K139" s="33">
        <f>SUM(H139:J139)</f>
        <v>250</v>
      </c>
    </row>
    <row r="140" spans="1:11" ht="15" customHeight="1" x14ac:dyDescent="0.25">
      <c r="A140" s="136" t="s">
        <v>360</v>
      </c>
      <c r="B140" s="132" t="s">
        <v>361</v>
      </c>
      <c r="C140" s="36">
        <v>0</v>
      </c>
      <c r="D140" s="31"/>
      <c r="E140" s="30"/>
      <c r="F140" s="30"/>
      <c r="G140" s="30"/>
      <c r="H140" s="32">
        <v>0</v>
      </c>
      <c r="I140" s="30">
        <v>0</v>
      </c>
      <c r="J140" s="30">
        <f>20</f>
        <v>20</v>
      </c>
      <c r="K140" s="33">
        <f>SUM(H140:J140)</f>
        <v>20</v>
      </c>
    </row>
    <row r="141" spans="1:11" ht="26.25" customHeight="1" x14ac:dyDescent="0.25">
      <c r="A141" s="34" t="s">
        <v>362</v>
      </c>
      <c r="B141" s="132" t="s">
        <v>363</v>
      </c>
      <c r="C141" s="36">
        <v>0</v>
      </c>
      <c r="D141" s="31"/>
      <c r="E141" s="30"/>
      <c r="F141" s="30"/>
      <c r="G141" s="30"/>
      <c r="H141" s="32">
        <v>0</v>
      </c>
      <c r="I141" s="30">
        <v>0</v>
      </c>
      <c r="J141" s="30">
        <f>40</f>
        <v>40</v>
      </c>
      <c r="K141" s="33">
        <f>SUM(H141:J141)</f>
        <v>40</v>
      </c>
    </row>
    <row r="142" spans="1:11" ht="13.5" customHeight="1" x14ac:dyDescent="0.25">
      <c r="A142" s="136" t="s">
        <v>155</v>
      </c>
      <c r="B142" s="132" t="s">
        <v>74</v>
      </c>
      <c r="C142" s="36">
        <v>500</v>
      </c>
      <c r="D142" s="31">
        <v>0</v>
      </c>
      <c r="E142" s="30">
        <f t="shared" si="17"/>
        <v>500</v>
      </c>
      <c r="F142" s="30">
        <v>0</v>
      </c>
      <c r="G142" s="30">
        <v>0</v>
      </c>
      <c r="H142" s="32">
        <f t="shared" si="19"/>
        <v>500</v>
      </c>
      <c r="I142" s="30">
        <v>0</v>
      </c>
      <c r="J142" s="30">
        <v>0</v>
      </c>
      <c r="K142" s="33">
        <f t="shared" si="16"/>
        <v>500</v>
      </c>
    </row>
    <row r="143" spans="1:11" ht="15.75" customHeight="1" x14ac:dyDescent="0.25">
      <c r="A143" s="136" t="s">
        <v>156</v>
      </c>
      <c r="B143" s="132" t="s">
        <v>74</v>
      </c>
      <c r="C143" s="36">
        <v>50</v>
      </c>
      <c r="D143" s="31">
        <v>0</v>
      </c>
      <c r="E143" s="30">
        <f t="shared" si="17"/>
        <v>50</v>
      </c>
      <c r="F143" s="30">
        <v>0</v>
      </c>
      <c r="G143" s="30">
        <v>0</v>
      </c>
      <c r="H143" s="32">
        <f t="shared" si="19"/>
        <v>50</v>
      </c>
      <c r="I143" s="30">
        <v>0</v>
      </c>
      <c r="J143" s="30">
        <v>0</v>
      </c>
      <c r="K143" s="33">
        <f t="shared" si="16"/>
        <v>50</v>
      </c>
    </row>
    <row r="144" spans="1:11" x14ac:dyDescent="0.25">
      <c r="A144" s="136" t="s">
        <v>157</v>
      </c>
      <c r="B144" s="132" t="s">
        <v>74</v>
      </c>
      <c r="C144" s="36">
        <v>1200</v>
      </c>
      <c r="D144" s="31">
        <v>0</v>
      </c>
      <c r="E144" s="30">
        <f t="shared" si="17"/>
        <v>1200</v>
      </c>
      <c r="F144" s="30">
        <v>0</v>
      </c>
      <c r="G144" s="30">
        <v>0</v>
      </c>
      <c r="H144" s="32">
        <f t="shared" si="19"/>
        <v>1200</v>
      </c>
      <c r="I144" s="30">
        <v>0</v>
      </c>
      <c r="J144" s="30">
        <v>0</v>
      </c>
      <c r="K144" s="33">
        <f t="shared" si="16"/>
        <v>1200</v>
      </c>
    </row>
    <row r="145" spans="1:11" ht="15.75" customHeight="1" x14ac:dyDescent="0.25">
      <c r="A145" s="34" t="s">
        <v>158</v>
      </c>
      <c r="B145" s="132" t="s">
        <v>74</v>
      </c>
      <c r="C145" s="36">
        <v>650</v>
      </c>
      <c r="D145" s="31">
        <v>0</v>
      </c>
      <c r="E145" s="30">
        <f t="shared" si="17"/>
        <v>650</v>
      </c>
      <c r="F145" s="30">
        <v>0</v>
      </c>
      <c r="G145" s="30">
        <v>0</v>
      </c>
      <c r="H145" s="32">
        <f t="shared" si="19"/>
        <v>650</v>
      </c>
      <c r="I145" s="30">
        <v>0</v>
      </c>
      <c r="J145" s="30">
        <v>0</v>
      </c>
      <c r="K145" s="33">
        <f t="shared" si="16"/>
        <v>650</v>
      </c>
    </row>
    <row r="146" spans="1:11" ht="29.25" customHeight="1" x14ac:dyDescent="0.25">
      <c r="A146" s="138" t="s">
        <v>159</v>
      </c>
      <c r="B146" s="132" t="s">
        <v>74</v>
      </c>
      <c r="C146" s="36">
        <v>700</v>
      </c>
      <c r="D146" s="31">
        <v>0</v>
      </c>
      <c r="E146" s="30">
        <f>SUM(C146:D146)</f>
        <v>700</v>
      </c>
      <c r="F146" s="30">
        <v>0</v>
      </c>
      <c r="G146" s="30">
        <v>0</v>
      </c>
      <c r="H146" s="32">
        <f t="shared" si="19"/>
        <v>700</v>
      </c>
      <c r="I146" s="30">
        <v>0</v>
      </c>
      <c r="J146" s="30">
        <v>0</v>
      </c>
      <c r="K146" s="33">
        <f t="shared" si="16"/>
        <v>700</v>
      </c>
    </row>
    <row r="147" spans="1:11" ht="29.25" customHeight="1" x14ac:dyDescent="0.25">
      <c r="A147" s="139" t="s">
        <v>160</v>
      </c>
      <c r="B147" s="140" t="s">
        <v>53</v>
      </c>
      <c r="C147" s="36">
        <v>0</v>
      </c>
      <c r="D147" s="31"/>
      <c r="E147" s="30"/>
      <c r="F147" s="30"/>
      <c r="G147" s="30"/>
      <c r="H147" s="32">
        <v>0</v>
      </c>
      <c r="I147" s="30">
        <v>100</v>
      </c>
      <c r="J147" s="30">
        <v>0</v>
      </c>
      <c r="K147" s="33">
        <f t="shared" ref="K147:K210" si="20">SUM(H147:J147)</f>
        <v>100</v>
      </c>
    </row>
    <row r="148" spans="1:11" ht="27" customHeight="1" x14ac:dyDescent="0.25">
      <c r="A148" s="138" t="s">
        <v>161</v>
      </c>
      <c r="B148" s="132" t="s">
        <v>53</v>
      </c>
      <c r="C148" s="36">
        <v>0</v>
      </c>
      <c r="D148" s="31">
        <f>50</f>
        <v>50</v>
      </c>
      <c r="E148" s="30">
        <f>SUM(C148:D148)</f>
        <v>50</v>
      </c>
      <c r="F148" s="30">
        <v>0</v>
      </c>
      <c r="G148" s="30">
        <v>0</v>
      </c>
      <c r="H148" s="32">
        <f t="shared" si="19"/>
        <v>50</v>
      </c>
      <c r="I148" s="30">
        <v>0</v>
      </c>
      <c r="J148" s="30">
        <v>0</v>
      </c>
      <c r="K148" s="33">
        <f t="shared" si="20"/>
        <v>50</v>
      </c>
    </row>
    <row r="149" spans="1:11" ht="17.25" customHeight="1" thickBot="1" x14ac:dyDescent="0.3">
      <c r="A149" s="133" t="s">
        <v>162</v>
      </c>
      <c r="B149" s="106"/>
      <c r="C149" s="39">
        <v>16577.599999999999</v>
      </c>
      <c r="D149" s="128">
        <f>-1100-510</f>
        <v>-1610</v>
      </c>
      <c r="E149" s="39">
        <f>SUM(C149:D149)+94.17</f>
        <v>15061.769999999999</v>
      </c>
      <c r="F149" s="39">
        <v>-3853</v>
      </c>
      <c r="G149" s="39">
        <f>-494.17</f>
        <v>-494.17</v>
      </c>
      <c r="H149" s="141">
        <f t="shared" si="19"/>
        <v>10714.599999999999</v>
      </c>
      <c r="I149" s="39">
        <v>-749.19</v>
      </c>
      <c r="J149" s="41">
        <f>30-60</f>
        <v>-30</v>
      </c>
      <c r="K149" s="43">
        <f t="shared" si="20"/>
        <v>9935.409999999998</v>
      </c>
    </row>
    <row r="150" spans="1:11" ht="15.75" customHeight="1" thickBot="1" x14ac:dyDescent="0.3">
      <c r="A150" s="134" t="s">
        <v>163</v>
      </c>
      <c r="B150" s="125"/>
      <c r="C150" s="117">
        <f>SUM(C152:C161)</f>
        <v>271015</v>
      </c>
      <c r="D150" s="118">
        <f>SUM(D152:D161)</f>
        <v>0</v>
      </c>
      <c r="E150" s="117">
        <f>SUM(C150:D150)</f>
        <v>271015</v>
      </c>
      <c r="F150" s="117">
        <f>SUM(F152:F161)</f>
        <v>17057</v>
      </c>
      <c r="G150" s="117">
        <f>SUM(G152:G161)</f>
        <v>50.72</v>
      </c>
      <c r="H150" s="119">
        <f>SUM(H152:H161)</f>
        <v>288122.71999999997</v>
      </c>
      <c r="I150" s="117">
        <f>SUM(I152:I161)</f>
        <v>10461</v>
      </c>
      <c r="J150" s="117">
        <f>SUM(J152:J161)</f>
        <v>2242</v>
      </c>
      <c r="K150" s="98">
        <f t="shared" si="20"/>
        <v>300825.71999999997</v>
      </c>
    </row>
    <row r="151" spans="1:11" ht="15.75" customHeight="1" x14ac:dyDescent="0.25">
      <c r="A151" s="135" t="s">
        <v>34</v>
      </c>
      <c r="B151" s="100"/>
      <c r="C151" s="30"/>
      <c r="D151" s="31"/>
      <c r="E151" s="30"/>
      <c r="F151" s="30"/>
      <c r="G151" s="30"/>
      <c r="H151" s="32"/>
      <c r="I151" s="30"/>
      <c r="J151" s="30"/>
      <c r="K151" s="33"/>
    </row>
    <row r="152" spans="1:11" ht="17.25" customHeight="1" x14ac:dyDescent="0.25">
      <c r="A152" s="136" t="s">
        <v>67</v>
      </c>
      <c r="B152" s="102"/>
      <c r="C152" s="36">
        <v>69797</v>
      </c>
      <c r="D152" s="31">
        <v>0</v>
      </c>
      <c r="E152" s="30">
        <f>SUM(C152:D152)</f>
        <v>69797</v>
      </c>
      <c r="F152" s="30">
        <v>8500</v>
      </c>
      <c r="G152" s="30">
        <f>0</f>
        <v>0</v>
      </c>
      <c r="H152" s="32">
        <f>SUM(E152:G152)</f>
        <v>78297</v>
      </c>
      <c r="I152" s="30">
        <v>0</v>
      </c>
      <c r="J152" s="30">
        <f>1325+917</f>
        <v>2242</v>
      </c>
      <c r="K152" s="33">
        <f t="shared" si="20"/>
        <v>80539</v>
      </c>
    </row>
    <row r="153" spans="1:11" ht="16.5" customHeight="1" x14ac:dyDescent="0.25">
      <c r="A153" s="136" t="s">
        <v>164</v>
      </c>
      <c r="B153" s="132" t="s">
        <v>74</v>
      </c>
      <c r="C153" s="36">
        <v>113169</v>
      </c>
      <c r="D153" s="31">
        <v>0</v>
      </c>
      <c r="E153" s="30">
        <f t="shared" ref="E153:E161" si="21">SUM(C153:D153)</f>
        <v>113169</v>
      </c>
      <c r="F153" s="30">
        <v>7200</v>
      </c>
      <c r="G153" s="30">
        <v>0</v>
      </c>
      <c r="H153" s="32">
        <f t="shared" ref="H153:H157" si="22">SUM(E153:G153)</f>
        <v>120369</v>
      </c>
      <c r="I153" s="30">
        <v>9961</v>
      </c>
      <c r="J153" s="30">
        <v>0</v>
      </c>
      <c r="K153" s="33">
        <f t="shared" si="20"/>
        <v>130330</v>
      </c>
    </row>
    <row r="154" spans="1:11" ht="15.75" customHeight="1" x14ac:dyDescent="0.25">
      <c r="A154" s="136" t="s">
        <v>165</v>
      </c>
      <c r="B154" s="132" t="s">
        <v>74</v>
      </c>
      <c r="C154" s="36">
        <v>1136</v>
      </c>
      <c r="D154" s="31">
        <v>0</v>
      </c>
      <c r="E154" s="30">
        <f t="shared" si="21"/>
        <v>1136</v>
      </c>
      <c r="F154" s="30">
        <v>0</v>
      </c>
      <c r="G154" s="30">
        <v>0</v>
      </c>
      <c r="H154" s="32">
        <f t="shared" si="22"/>
        <v>1136</v>
      </c>
      <c r="I154" s="30">
        <v>0</v>
      </c>
      <c r="J154" s="30">
        <v>0</v>
      </c>
      <c r="K154" s="33">
        <f t="shared" si="20"/>
        <v>1136</v>
      </c>
    </row>
    <row r="155" spans="1:11" x14ac:dyDescent="0.25">
      <c r="A155" s="136" t="s">
        <v>166</v>
      </c>
      <c r="B155" s="132" t="s">
        <v>74</v>
      </c>
      <c r="C155" s="36">
        <v>21850</v>
      </c>
      <c r="D155" s="31">
        <v>0</v>
      </c>
      <c r="E155" s="30">
        <f t="shared" si="21"/>
        <v>21850</v>
      </c>
      <c r="F155" s="30">
        <v>0</v>
      </c>
      <c r="G155" s="30">
        <f>50.72</f>
        <v>50.72</v>
      </c>
      <c r="H155" s="32">
        <f t="shared" si="22"/>
        <v>21900.720000000001</v>
      </c>
      <c r="I155" s="30">
        <v>0</v>
      </c>
      <c r="J155" s="30">
        <v>0</v>
      </c>
      <c r="K155" s="33">
        <f t="shared" si="20"/>
        <v>21900.720000000001</v>
      </c>
    </row>
    <row r="156" spans="1:11" ht="16.5" customHeight="1" x14ac:dyDescent="0.25">
      <c r="A156" s="136" t="s">
        <v>167</v>
      </c>
      <c r="B156" s="132" t="s">
        <v>74</v>
      </c>
      <c r="C156" s="36">
        <v>195</v>
      </c>
      <c r="D156" s="31">
        <v>0</v>
      </c>
      <c r="E156" s="30">
        <f t="shared" si="21"/>
        <v>195</v>
      </c>
      <c r="F156" s="30">
        <v>0</v>
      </c>
      <c r="G156" s="30">
        <v>0</v>
      </c>
      <c r="H156" s="32">
        <f t="shared" si="22"/>
        <v>195</v>
      </c>
      <c r="I156" s="30">
        <v>0</v>
      </c>
      <c r="J156" s="30">
        <v>0</v>
      </c>
      <c r="K156" s="33">
        <f t="shared" si="20"/>
        <v>195</v>
      </c>
    </row>
    <row r="157" spans="1:11" x14ac:dyDescent="0.25">
      <c r="A157" s="136" t="s">
        <v>168</v>
      </c>
      <c r="B157" s="132" t="s">
        <v>74</v>
      </c>
      <c r="C157" s="36">
        <v>171</v>
      </c>
      <c r="D157" s="31">
        <v>0</v>
      </c>
      <c r="E157" s="30">
        <f t="shared" si="21"/>
        <v>171</v>
      </c>
      <c r="F157" s="30">
        <v>0</v>
      </c>
      <c r="G157" s="30">
        <v>0</v>
      </c>
      <c r="H157" s="32">
        <f t="shared" si="22"/>
        <v>171</v>
      </c>
      <c r="I157" s="30">
        <v>0</v>
      </c>
      <c r="J157" s="30">
        <v>0</v>
      </c>
      <c r="K157" s="33">
        <f t="shared" si="20"/>
        <v>171</v>
      </c>
    </row>
    <row r="158" spans="1:11" x14ac:dyDescent="0.25">
      <c r="A158" s="136" t="s">
        <v>169</v>
      </c>
      <c r="B158" s="132" t="s">
        <v>74</v>
      </c>
      <c r="C158" s="36">
        <v>833</v>
      </c>
      <c r="D158" s="31">
        <v>0</v>
      </c>
      <c r="E158" s="30">
        <f t="shared" si="21"/>
        <v>833</v>
      </c>
      <c r="F158" s="30">
        <v>0</v>
      </c>
      <c r="G158" s="30">
        <v>0</v>
      </c>
      <c r="H158" s="32">
        <f>SUM(E158:G158)</f>
        <v>833</v>
      </c>
      <c r="I158" s="30">
        <v>0</v>
      </c>
      <c r="J158" s="30">
        <v>0</v>
      </c>
      <c r="K158" s="33">
        <f t="shared" si="20"/>
        <v>833</v>
      </c>
    </row>
    <row r="159" spans="1:11" x14ac:dyDescent="0.25">
      <c r="A159" s="136" t="s">
        <v>170</v>
      </c>
      <c r="B159" s="132" t="s">
        <v>74</v>
      </c>
      <c r="C159" s="36">
        <v>213</v>
      </c>
      <c r="D159" s="31">
        <v>0</v>
      </c>
      <c r="E159" s="30">
        <f t="shared" si="21"/>
        <v>213</v>
      </c>
      <c r="F159" s="30">
        <v>0</v>
      </c>
      <c r="G159" s="30">
        <v>0</v>
      </c>
      <c r="H159" s="32">
        <f t="shared" ref="H159:H161" si="23">SUM(E159:G159)</f>
        <v>213</v>
      </c>
      <c r="I159" s="30">
        <v>0</v>
      </c>
      <c r="J159" s="30">
        <v>0</v>
      </c>
      <c r="K159" s="33">
        <f t="shared" si="20"/>
        <v>213</v>
      </c>
    </row>
    <row r="160" spans="1:11" ht="29.25" customHeight="1" x14ac:dyDescent="0.25">
      <c r="A160" s="34" t="s">
        <v>171</v>
      </c>
      <c r="B160" s="132" t="s">
        <v>74</v>
      </c>
      <c r="C160" s="36">
        <v>82</v>
      </c>
      <c r="D160" s="31">
        <v>0</v>
      </c>
      <c r="E160" s="30">
        <f t="shared" si="21"/>
        <v>82</v>
      </c>
      <c r="F160" s="30">
        <v>0</v>
      </c>
      <c r="G160" s="30">
        <v>0</v>
      </c>
      <c r="H160" s="32">
        <f t="shared" si="23"/>
        <v>82</v>
      </c>
      <c r="I160" s="30">
        <v>35</v>
      </c>
      <c r="J160" s="30">
        <v>0</v>
      </c>
      <c r="K160" s="33">
        <f t="shared" si="20"/>
        <v>117</v>
      </c>
    </row>
    <row r="161" spans="1:11" ht="25.5" customHeight="1" thickBot="1" x14ac:dyDescent="0.3">
      <c r="A161" s="37" t="s">
        <v>172</v>
      </c>
      <c r="B161" s="106"/>
      <c r="C161" s="39">
        <v>63569</v>
      </c>
      <c r="D161" s="40">
        <v>0</v>
      </c>
      <c r="E161" s="41">
        <f t="shared" si="21"/>
        <v>63569</v>
      </c>
      <c r="F161" s="41">
        <v>1357</v>
      </c>
      <c r="G161" s="41">
        <v>0</v>
      </c>
      <c r="H161" s="42">
        <f t="shared" si="23"/>
        <v>64926</v>
      </c>
      <c r="I161" s="41">
        <v>465</v>
      </c>
      <c r="J161" s="41">
        <v>0</v>
      </c>
      <c r="K161" s="43">
        <f t="shared" si="20"/>
        <v>65391</v>
      </c>
    </row>
    <row r="162" spans="1:11" ht="15.75" thickBot="1" x14ac:dyDescent="0.3">
      <c r="A162" s="134" t="s">
        <v>173</v>
      </c>
      <c r="B162" s="125"/>
      <c r="C162" s="117">
        <f>SUM(C164:C171)</f>
        <v>116589.95</v>
      </c>
      <c r="D162" s="118">
        <f>SUM(D164:D171)</f>
        <v>0</v>
      </c>
      <c r="E162" s="117">
        <f>SUM(C162:D162)</f>
        <v>116589.95</v>
      </c>
      <c r="F162" s="117">
        <f>SUM(F164:F171)</f>
        <v>3441.1</v>
      </c>
      <c r="G162" s="117">
        <f>SUM(G164:G171)</f>
        <v>110</v>
      </c>
      <c r="H162" s="119">
        <f>SUM(H164:H171)</f>
        <v>120142.55</v>
      </c>
      <c r="I162" s="117">
        <f>SUM(I164:I171)</f>
        <v>200</v>
      </c>
      <c r="J162" s="117">
        <f>SUM(J164:J171)</f>
        <v>0</v>
      </c>
      <c r="K162" s="98">
        <f t="shared" si="20"/>
        <v>120342.55</v>
      </c>
    </row>
    <row r="163" spans="1:11" x14ac:dyDescent="0.25">
      <c r="A163" s="135" t="s">
        <v>34</v>
      </c>
      <c r="B163" s="100"/>
      <c r="C163" s="30"/>
      <c r="D163" s="31"/>
      <c r="E163" s="30"/>
      <c r="F163" s="30"/>
      <c r="G163" s="30"/>
      <c r="H163" s="32"/>
      <c r="I163" s="30"/>
      <c r="J163" s="30"/>
      <c r="K163" s="33"/>
    </row>
    <row r="164" spans="1:11" ht="27" customHeight="1" x14ac:dyDescent="0.25">
      <c r="A164" s="121" t="s">
        <v>174</v>
      </c>
      <c r="B164" s="102"/>
      <c r="C164" s="36">
        <v>0</v>
      </c>
      <c r="D164" s="31">
        <v>0</v>
      </c>
      <c r="E164" s="30">
        <f>SUM(C164:D164)</f>
        <v>0</v>
      </c>
      <c r="F164" s="30">
        <v>86.1</v>
      </c>
      <c r="G164" s="30">
        <v>0</v>
      </c>
      <c r="H164" s="32">
        <f>SUM(E164:G164)</f>
        <v>86.1</v>
      </c>
      <c r="I164" s="30">
        <v>0</v>
      </c>
      <c r="J164" s="30">
        <v>0</v>
      </c>
      <c r="K164" s="33">
        <f t="shared" si="20"/>
        <v>86.1</v>
      </c>
    </row>
    <row r="165" spans="1:11" ht="17.25" customHeight="1" x14ac:dyDescent="0.25">
      <c r="A165" s="136" t="s">
        <v>67</v>
      </c>
      <c r="B165" s="102"/>
      <c r="C165" s="36">
        <v>3187</v>
      </c>
      <c r="D165" s="31">
        <v>0</v>
      </c>
      <c r="E165" s="30">
        <f t="shared" ref="E165:E171" si="24">SUM(C165:D165)</f>
        <v>3187</v>
      </c>
      <c r="F165" s="30">
        <v>699</v>
      </c>
      <c r="G165" s="30">
        <v>0</v>
      </c>
      <c r="H165" s="32">
        <f>SUM(E165:G165)+1.5</f>
        <v>3887.5</v>
      </c>
      <c r="I165" s="30">
        <v>0</v>
      </c>
      <c r="J165" s="30">
        <v>0</v>
      </c>
      <c r="K165" s="33">
        <f t="shared" si="20"/>
        <v>3887.5</v>
      </c>
    </row>
    <row r="166" spans="1:11" ht="25.5" customHeight="1" x14ac:dyDescent="0.25">
      <c r="A166" s="34" t="s">
        <v>175</v>
      </c>
      <c r="B166" s="132" t="s">
        <v>176</v>
      </c>
      <c r="C166" s="36">
        <v>165.22</v>
      </c>
      <c r="D166" s="31">
        <v>0</v>
      </c>
      <c r="E166" s="30">
        <f t="shared" si="24"/>
        <v>165.22</v>
      </c>
      <c r="F166" s="30">
        <v>0</v>
      </c>
      <c r="G166" s="30">
        <v>0</v>
      </c>
      <c r="H166" s="32">
        <f t="shared" ref="H166:H171" si="25">SUM(E166:G166)</f>
        <v>165.22</v>
      </c>
      <c r="I166" s="30">
        <v>0</v>
      </c>
      <c r="J166" s="30">
        <v>0</v>
      </c>
      <c r="K166" s="33">
        <f t="shared" si="20"/>
        <v>165.22</v>
      </c>
    </row>
    <row r="167" spans="1:11" ht="27.75" customHeight="1" x14ac:dyDescent="0.25">
      <c r="A167" s="34" t="s">
        <v>177</v>
      </c>
      <c r="B167" s="132" t="s">
        <v>178</v>
      </c>
      <c r="C167" s="36">
        <v>286.73</v>
      </c>
      <c r="D167" s="31">
        <v>0</v>
      </c>
      <c r="E167" s="30">
        <f t="shared" si="24"/>
        <v>286.73</v>
      </c>
      <c r="F167" s="30">
        <v>0</v>
      </c>
      <c r="G167" s="30">
        <v>0</v>
      </c>
      <c r="H167" s="32">
        <f t="shared" si="25"/>
        <v>286.73</v>
      </c>
      <c r="I167" s="30">
        <v>0</v>
      </c>
      <c r="J167" s="30">
        <v>0</v>
      </c>
      <c r="K167" s="33">
        <f t="shared" si="20"/>
        <v>286.73</v>
      </c>
    </row>
    <row r="168" spans="1:11" ht="18" customHeight="1" x14ac:dyDescent="0.25">
      <c r="A168" s="136" t="s">
        <v>179</v>
      </c>
      <c r="B168" s="142"/>
      <c r="C168" s="36">
        <v>6</v>
      </c>
      <c r="D168" s="31">
        <v>0</v>
      </c>
      <c r="E168" s="30">
        <f t="shared" si="24"/>
        <v>6</v>
      </c>
      <c r="F168" s="30">
        <v>0</v>
      </c>
      <c r="G168" s="30">
        <v>0</v>
      </c>
      <c r="H168" s="32">
        <f t="shared" si="25"/>
        <v>6</v>
      </c>
      <c r="I168" s="30">
        <v>0</v>
      </c>
      <c r="J168" s="30">
        <v>0</v>
      </c>
      <c r="K168" s="33">
        <f t="shared" si="20"/>
        <v>6</v>
      </c>
    </row>
    <row r="169" spans="1:11" ht="16.5" customHeight="1" x14ac:dyDescent="0.25">
      <c r="A169" s="136" t="s">
        <v>180</v>
      </c>
      <c r="B169" s="132" t="s">
        <v>181</v>
      </c>
      <c r="C169" s="36">
        <v>180</v>
      </c>
      <c r="D169" s="31">
        <v>0</v>
      </c>
      <c r="E169" s="30">
        <f t="shared" si="24"/>
        <v>180</v>
      </c>
      <c r="F169" s="30">
        <v>0</v>
      </c>
      <c r="G169" s="30">
        <v>0</v>
      </c>
      <c r="H169" s="32">
        <f t="shared" si="25"/>
        <v>180</v>
      </c>
      <c r="I169" s="30">
        <v>0</v>
      </c>
      <c r="J169" s="30">
        <v>0</v>
      </c>
      <c r="K169" s="33">
        <f t="shared" si="20"/>
        <v>180</v>
      </c>
    </row>
    <row r="170" spans="1:11" ht="15.75" customHeight="1" x14ac:dyDescent="0.25">
      <c r="A170" s="136" t="s">
        <v>182</v>
      </c>
      <c r="B170" s="132" t="s">
        <v>181</v>
      </c>
      <c r="C170" s="36">
        <v>810</v>
      </c>
      <c r="D170" s="31">
        <v>0</v>
      </c>
      <c r="E170" s="30">
        <f t="shared" si="24"/>
        <v>810</v>
      </c>
      <c r="F170" s="30">
        <v>0</v>
      </c>
      <c r="G170" s="30">
        <v>0</v>
      </c>
      <c r="H170" s="32">
        <f t="shared" si="25"/>
        <v>810</v>
      </c>
      <c r="I170" s="30">
        <v>0</v>
      </c>
      <c r="J170" s="30">
        <v>0</v>
      </c>
      <c r="K170" s="33">
        <f t="shared" si="20"/>
        <v>810</v>
      </c>
    </row>
    <row r="171" spans="1:11" ht="26.25" customHeight="1" thickBot="1" x14ac:dyDescent="0.3">
      <c r="A171" s="37" t="s">
        <v>183</v>
      </c>
      <c r="B171" s="106"/>
      <c r="C171" s="39">
        <v>111955</v>
      </c>
      <c r="D171" s="128">
        <v>0</v>
      </c>
      <c r="E171" s="39">
        <f t="shared" si="24"/>
        <v>111955</v>
      </c>
      <c r="F171" s="39">
        <v>2656</v>
      </c>
      <c r="G171" s="41">
        <f>110</f>
        <v>110</v>
      </c>
      <c r="H171" s="42">
        <f t="shared" si="25"/>
        <v>114721</v>
      </c>
      <c r="I171" s="41">
        <v>200</v>
      </c>
      <c r="J171" s="41">
        <v>0</v>
      </c>
      <c r="K171" s="43">
        <f t="shared" si="20"/>
        <v>114921</v>
      </c>
    </row>
    <row r="172" spans="1:11" ht="16.5" customHeight="1" thickBot="1" x14ac:dyDescent="0.3">
      <c r="A172" s="134" t="s">
        <v>184</v>
      </c>
      <c r="B172" s="125"/>
      <c r="C172" s="117">
        <f>SUM(C174:C175)</f>
        <v>9436</v>
      </c>
      <c r="D172" s="118">
        <f>SUM(D174:D175)</f>
        <v>1520</v>
      </c>
      <c r="E172" s="117">
        <f>SUM(C172:D172)</f>
        <v>10956</v>
      </c>
      <c r="F172" s="117">
        <f>SUM(F174:F175)</f>
        <v>991.7</v>
      </c>
      <c r="G172" s="117">
        <f>SUM(G174:G175)</f>
        <v>-45</v>
      </c>
      <c r="H172" s="119">
        <f>SUM(H174:H175)</f>
        <v>11947.7</v>
      </c>
      <c r="I172" s="117">
        <f>SUM(I174:I175)</f>
        <v>-8100</v>
      </c>
      <c r="J172" s="117">
        <f>SUM(J174:J175)</f>
        <v>0</v>
      </c>
      <c r="K172" s="98">
        <f t="shared" si="20"/>
        <v>3847.7000000000007</v>
      </c>
    </row>
    <row r="173" spans="1:11" ht="17.25" customHeight="1" x14ac:dyDescent="0.25">
      <c r="A173" s="135" t="s">
        <v>34</v>
      </c>
      <c r="B173" s="100"/>
      <c r="C173" s="30"/>
      <c r="D173" s="31"/>
      <c r="E173" s="30"/>
      <c r="F173" s="30"/>
      <c r="G173" s="30"/>
      <c r="H173" s="32"/>
      <c r="I173" s="30"/>
      <c r="J173" s="30"/>
      <c r="K173" s="33"/>
    </row>
    <row r="174" spans="1:11" ht="15.75" customHeight="1" x14ac:dyDescent="0.25">
      <c r="A174" s="136" t="s">
        <v>185</v>
      </c>
      <c r="B174" s="102"/>
      <c r="C174" s="36">
        <v>9186</v>
      </c>
      <c r="D174" s="31">
        <f>8+1512</f>
        <v>1520</v>
      </c>
      <c r="E174" s="30">
        <f>SUM(C174:D174)</f>
        <v>10706</v>
      </c>
      <c r="F174" s="30">
        <v>991.7</v>
      </c>
      <c r="G174" s="30">
        <f>-45</f>
        <v>-45</v>
      </c>
      <c r="H174" s="32">
        <f>SUM(E174:G174)+45</f>
        <v>11697.7</v>
      </c>
      <c r="I174" s="30">
        <v>-7850</v>
      </c>
      <c r="J174" s="30">
        <v>0</v>
      </c>
      <c r="K174" s="33">
        <f t="shared" si="20"/>
        <v>3847.7000000000007</v>
      </c>
    </row>
    <row r="175" spans="1:11" ht="17.25" customHeight="1" thickBot="1" x14ac:dyDescent="0.3">
      <c r="A175" s="133" t="s">
        <v>186</v>
      </c>
      <c r="B175" s="106"/>
      <c r="C175" s="39">
        <v>250</v>
      </c>
      <c r="D175" s="40">
        <v>0</v>
      </c>
      <c r="E175" s="41">
        <f>SUM(C175:D175)</f>
        <v>250</v>
      </c>
      <c r="F175" s="41">
        <v>0</v>
      </c>
      <c r="G175" s="41">
        <v>0</v>
      </c>
      <c r="H175" s="42">
        <f>SUM(E175:G175)</f>
        <v>250</v>
      </c>
      <c r="I175" s="41">
        <v>-250</v>
      </c>
      <c r="J175" s="41">
        <v>0</v>
      </c>
      <c r="K175" s="43">
        <f t="shared" si="20"/>
        <v>0</v>
      </c>
    </row>
    <row r="176" spans="1:11" ht="15.75" thickBot="1" x14ac:dyDescent="0.3">
      <c r="A176" s="134" t="s">
        <v>187</v>
      </c>
      <c r="B176" s="125"/>
      <c r="C176" s="117">
        <f>SUM(C178:C220)</f>
        <v>93551.54</v>
      </c>
      <c r="D176" s="118">
        <f>SUM(D178:D220)</f>
        <v>16.22</v>
      </c>
      <c r="E176" s="117">
        <f>SUM(C176:D176)</f>
        <v>93567.76</v>
      </c>
      <c r="F176" s="117">
        <f>SUM(F178:F220)</f>
        <v>5288.77</v>
      </c>
      <c r="G176" s="117">
        <f>SUM(G178:G220)</f>
        <v>46154.78</v>
      </c>
      <c r="H176" s="119">
        <f>SUM(H178:H220)</f>
        <v>145361.31</v>
      </c>
      <c r="I176" s="117">
        <f>SUM(I178:I220)</f>
        <v>8300</v>
      </c>
      <c r="J176" s="117">
        <f>SUM(J178:J220)</f>
        <v>17</v>
      </c>
      <c r="K176" s="98">
        <f t="shared" si="20"/>
        <v>153678.31</v>
      </c>
    </row>
    <row r="177" spans="1:11" ht="15" customHeight="1" x14ac:dyDescent="0.25">
      <c r="A177" s="135" t="s">
        <v>34</v>
      </c>
      <c r="B177" s="100"/>
      <c r="C177" s="30"/>
      <c r="D177" s="31"/>
      <c r="E177" s="30"/>
      <c r="F177" s="30"/>
      <c r="G177" s="30"/>
      <c r="H177" s="32"/>
      <c r="I177" s="30"/>
      <c r="J177" s="30"/>
      <c r="K177" s="33"/>
    </row>
    <row r="178" spans="1:11" ht="16.5" customHeight="1" x14ac:dyDescent="0.25">
      <c r="A178" s="34" t="s">
        <v>188</v>
      </c>
      <c r="B178" s="102"/>
      <c r="C178" s="36">
        <v>0</v>
      </c>
      <c r="D178" s="31">
        <v>0</v>
      </c>
      <c r="E178" s="30">
        <f>SUM(C178:D178)</f>
        <v>0</v>
      </c>
      <c r="F178" s="30">
        <v>0</v>
      </c>
      <c r="G178" s="30">
        <f>5</f>
        <v>5</v>
      </c>
      <c r="H178" s="32">
        <f>SUM(E178:G178)+50</f>
        <v>55</v>
      </c>
      <c r="I178" s="30">
        <v>7850</v>
      </c>
      <c r="J178" s="30">
        <f>17</f>
        <v>17</v>
      </c>
      <c r="K178" s="33">
        <f t="shared" si="20"/>
        <v>7922</v>
      </c>
    </row>
    <row r="179" spans="1:11" ht="33" customHeight="1" x14ac:dyDescent="0.25">
      <c r="A179" s="34" t="s">
        <v>189</v>
      </c>
      <c r="B179" s="132" t="s">
        <v>190</v>
      </c>
      <c r="C179" s="36">
        <v>13000</v>
      </c>
      <c r="D179" s="31">
        <v>0</v>
      </c>
      <c r="E179" s="30">
        <f t="shared" ref="E179:E220" si="26">SUM(C179:D179)</f>
        <v>13000</v>
      </c>
      <c r="F179" s="30">
        <v>-17.5</v>
      </c>
      <c r="G179" s="30">
        <v>0</v>
      </c>
      <c r="H179" s="32">
        <f t="shared" ref="H179:H220" si="27">SUM(E179:G179)</f>
        <v>12982.5</v>
      </c>
      <c r="I179" s="30">
        <v>0</v>
      </c>
      <c r="J179" s="30">
        <v>0</v>
      </c>
      <c r="K179" s="33">
        <f t="shared" si="20"/>
        <v>12982.5</v>
      </c>
    </row>
    <row r="180" spans="1:11" ht="29.25" customHeight="1" x14ac:dyDescent="0.25">
      <c r="A180" s="34" t="s">
        <v>191</v>
      </c>
      <c r="B180" s="132" t="s">
        <v>192</v>
      </c>
      <c r="C180" s="36">
        <v>400</v>
      </c>
      <c r="D180" s="31">
        <v>0</v>
      </c>
      <c r="E180" s="30">
        <f t="shared" si="26"/>
        <v>400</v>
      </c>
      <c r="F180" s="30">
        <v>0</v>
      </c>
      <c r="G180" s="30">
        <v>0</v>
      </c>
      <c r="H180" s="32">
        <f t="shared" si="27"/>
        <v>400</v>
      </c>
      <c r="I180" s="30">
        <v>0</v>
      </c>
      <c r="J180" s="30">
        <v>0</v>
      </c>
      <c r="K180" s="33">
        <f t="shared" si="20"/>
        <v>400</v>
      </c>
    </row>
    <row r="181" spans="1:11" ht="31.5" customHeight="1" x14ac:dyDescent="0.25">
      <c r="A181" s="34" t="s">
        <v>193</v>
      </c>
      <c r="B181" s="132" t="s">
        <v>194</v>
      </c>
      <c r="C181" s="36">
        <v>800</v>
      </c>
      <c r="D181" s="31">
        <v>0</v>
      </c>
      <c r="E181" s="30">
        <f t="shared" si="26"/>
        <v>800</v>
      </c>
      <c r="F181" s="30">
        <v>-72.5</v>
      </c>
      <c r="G181" s="30">
        <v>0</v>
      </c>
      <c r="H181" s="32">
        <f t="shared" si="27"/>
        <v>727.5</v>
      </c>
      <c r="I181" s="30">
        <v>0</v>
      </c>
      <c r="J181" s="30">
        <v>0</v>
      </c>
      <c r="K181" s="33">
        <f t="shared" si="20"/>
        <v>727.5</v>
      </c>
    </row>
    <row r="182" spans="1:11" ht="53.25" customHeight="1" x14ac:dyDescent="0.25">
      <c r="A182" s="34" t="s">
        <v>195</v>
      </c>
      <c r="B182" s="132" t="s">
        <v>74</v>
      </c>
      <c r="C182" s="36">
        <v>10950</v>
      </c>
      <c r="D182" s="31">
        <v>0</v>
      </c>
      <c r="E182" s="30">
        <f t="shared" si="26"/>
        <v>10950</v>
      </c>
      <c r="F182" s="30">
        <v>950</v>
      </c>
      <c r="G182" s="30">
        <v>0</v>
      </c>
      <c r="H182" s="32">
        <f t="shared" si="27"/>
        <v>11900</v>
      </c>
      <c r="I182" s="30">
        <v>0</v>
      </c>
      <c r="J182" s="30">
        <v>0</v>
      </c>
      <c r="K182" s="33">
        <f t="shared" si="20"/>
        <v>11900</v>
      </c>
    </row>
    <row r="183" spans="1:11" ht="16.5" customHeight="1" x14ac:dyDescent="0.25">
      <c r="A183" s="34" t="s">
        <v>196</v>
      </c>
      <c r="B183" s="132" t="s">
        <v>74</v>
      </c>
      <c r="C183" s="36">
        <v>0</v>
      </c>
      <c r="D183" s="31"/>
      <c r="E183" s="30">
        <v>0</v>
      </c>
      <c r="F183" s="30">
        <v>0</v>
      </c>
      <c r="G183" s="30">
        <f>4714</f>
        <v>4714</v>
      </c>
      <c r="H183" s="32">
        <f>SUM(E183:G183)</f>
        <v>4714</v>
      </c>
      <c r="I183" s="30">
        <v>0</v>
      </c>
      <c r="J183" s="30">
        <v>0</v>
      </c>
      <c r="K183" s="33">
        <f t="shared" si="20"/>
        <v>4714</v>
      </c>
    </row>
    <row r="184" spans="1:11" ht="16.5" customHeight="1" x14ac:dyDescent="0.25">
      <c r="A184" s="34" t="s">
        <v>197</v>
      </c>
      <c r="B184" s="132" t="s">
        <v>74</v>
      </c>
      <c r="C184" s="36">
        <v>0</v>
      </c>
      <c r="D184" s="31"/>
      <c r="E184" s="30"/>
      <c r="F184" s="30"/>
      <c r="G184" s="30"/>
      <c r="H184" s="32">
        <f>300</f>
        <v>300</v>
      </c>
      <c r="I184" s="30">
        <v>0</v>
      </c>
      <c r="J184" s="30">
        <v>0</v>
      </c>
      <c r="K184" s="33">
        <f t="shared" si="20"/>
        <v>300</v>
      </c>
    </row>
    <row r="185" spans="1:11" ht="15.75" customHeight="1" x14ac:dyDescent="0.25">
      <c r="A185" s="136" t="s">
        <v>198</v>
      </c>
      <c r="B185" s="132" t="s">
        <v>74</v>
      </c>
      <c r="C185" s="36">
        <v>9000</v>
      </c>
      <c r="D185" s="31">
        <v>0</v>
      </c>
      <c r="E185" s="30">
        <f t="shared" si="26"/>
        <v>9000</v>
      </c>
      <c r="F185" s="30">
        <v>0</v>
      </c>
      <c r="G185" s="30">
        <v>0</v>
      </c>
      <c r="H185" s="32">
        <f t="shared" si="27"/>
        <v>9000</v>
      </c>
      <c r="I185" s="30">
        <v>0</v>
      </c>
      <c r="J185" s="30">
        <v>0</v>
      </c>
      <c r="K185" s="33">
        <f t="shared" si="20"/>
        <v>9000</v>
      </c>
    </row>
    <row r="186" spans="1:11" ht="54" customHeight="1" x14ac:dyDescent="0.25">
      <c r="A186" s="34" t="s">
        <v>199</v>
      </c>
      <c r="B186" s="132" t="s">
        <v>74</v>
      </c>
      <c r="C186" s="36">
        <v>14000</v>
      </c>
      <c r="D186" s="31">
        <v>0</v>
      </c>
      <c r="E186" s="30">
        <f t="shared" si="26"/>
        <v>14000</v>
      </c>
      <c r="F186" s="30">
        <v>1630</v>
      </c>
      <c r="G186" s="30">
        <v>0</v>
      </c>
      <c r="H186" s="32">
        <f t="shared" si="27"/>
        <v>15630</v>
      </c>
      <c r="I186" s="30">
        <v>0</v>
      </c>
      <c r="J186" s="30">
        <v>0</v>
      </c>
      <c r="K186" s="33">
        <f t="shared" si="20"/>
        <v>15630</v>
      </c>
    </row>
    <row r="187" spans="1:11" ht="14.25" customHeight="1" x14ac:dyDescent="0.25">
      <c r="A187" s="34" t="s">
        <v>200</v>
      </c>
      <c r="B187" s="132" t="s">
        <v>74</v>
      </c>
      <c r="C187" s="36">
        <v>0</v>
      </c>
      <c r="D187" s="31"/>
      <c r="E187" s="30">
        <v>0</v>
      </c>
      <c r="F187" s="30">
        <v>0</v>
      </c>
      <c r="G187" s="30">
        <f>17961</f>
        <v>17961</v>
      </c>
      <c r="H187" s="32">
        <f t="shared" si="27"/>
        <v>17961</v>
      </c>
      <c r="I187" s="30">
        <v>0</v>
      </c>
      <c r="J187" s="30">
        <v>0</v>
      </c>
      <c r="K187" s="33">
        <f t="shared" si="20"/>
        <v>17961</v>
      </c>
    </row>
    <row r="188" spans="1:11" ht="54" customHeight="1" x14ac:dyDescent="0.25">
      <c r="A188" s="34" t="s">
        <v>201</v>
      </c>
      <c r="B188" s="132" t="s">
        <v>74</v>
      </c>
      <c r="C188" s="36">
        <v>13200</v>
      </c>
      <c r="D188" s="31">
        <v>0</v>
      </c>
      <c r="E188" s="30">
        <f t="shared" si="26"/>
        <v>13200</v>
      </c>
      <c r="F188" s="30">
        <v>610</v>
      </c>
      <c r="G188" s="30">
        <v>0</v>
      </c>
      <c r="H188" s="32">
        <f t="shared" si="27"/>
        <v>13810</v>
      </c>
      <c r="I188" s="30">
        <v>0</v>
      </c>
      <c r="J188" s="30">
        <v>0</v>
      </c>
      <c r="K188" s="33">
        <f t="shared" si="20"/>
        <v>13810</v>
      </c>
    </row>
    <row r="189" spans="1:11" ht="16.5" customHeight="1" x14ac:dyDescent="0.25">
      <c r="A189" s="34" t="s">
        <v>202</v>
      </c>
      <c r="B189" s="132" t="s">
        <v>74</v>
      </c>
      <c r="C189" s="36">
        <v>0</v>
      </c>
      <c r="D189" s="31"/>
      <c r="E189" s="30">
        <v>0</v>
      </c>
      <c r="F189" s="30">
        <v>0</v>
      </c>
      <c r="G189" s="30">
        <f>13259</f>
        <v>13259</v>
      </c>
      <c r="H189" s="32">
        <f t="shared" si="27"/>
        <v>13259</v>
      </c>
      <c r="I189" s="30">
        <v>0</v>
      </c>
      <c r="J189" s="30">
        <v>0</v>
      </c>
      <c r="K189" s="33">
        <f t="shared" si="20"/>
        <v>13259</v>
      </c>
    </row>
    <row r="190" spans="1:11" ht="54.75" customHeight="1" x14ac:dyDescent="0.25">
      <c r="A190" s="34" t="s">
        <v>203</v>
      </c>
      <c r="B190" s="132" t="s">
        <v>74</v>
      </c>
      <c r="C190" s="36">
        <v>10180</v>
      </c>
      <c r="D190" s="31">
        <v>0</v>
      </c>
      <c r="E190" s="30">
        <f t="shared" si="26"/>
        <v>10180</v>
      </c>
      <c r="F190" s="30">
        <v>330</v>
      </c>
      <c r="G190" s="30">
        <v>0</v>
      </c>
      <c r="H190" s="32">
        <f t="shared" si="27"/>
        <v>10510</v>
      </c>
      <c r="I190" s="30">
        <v>0</v>
      </c>
      <c r="J190" s="30">
        <v>0</v>
      </c>
      <c r="K190" s="33">
        <f t="shared" si="20"/>
        <v>10510</v>
      </c>
    </row>
    <row r="191" spans="1:11" ht="15.75" customHeight="1" x14ac:dyDescent="0.25">
      <c r="A191" s="34" t="s">
        <v>204</v>
      </c>
      <c r="B191" s="132" t="s">
        <v>74</v>
      </c>
      <c r="C191" s="36">
        <v>0</v>
      </c>
      <c r="D191" s="31"/>
      <c r="E191" s="30">
        <v>0</v>
      </c>
      <c r="F191" s="30">
        <v>0</v>
      </c>
      <c r="G191" s="30">
        <v>4698</v>
      </c>
      <c r="H191" s="32">
        <f>SUM(E191:G191)</f>
        <v>4698</v>
      </c>
      <c r="I191" s="30">
        <v>0</v>
      </c>
      <c r="J191" s="30">
        <v>0</v>
      </c>
      <c r="K191" s="33">
        <f t="shared" si="20"/>
        <v>4698</v>
      </c>
    </row>
    <row r="192" spans="1:11" ht="66" customHeight="1" x14ac:dyDescent="0.25">
      <c r="A192" s="34" t="s">
        <v>205</v>
      </c>
      <c r="B192" s="132" t="s">
        <v>74</v>
      </c>
      <c r="C192" s="36">
        <v>9900</v>
      </c>
      <c r="D192" s="31">
        <v>0</v>
      </c>
      <c r="E192" s="30">
        <f t="shared" si="26"/>
        <v>9900</v>
      </c>
      <c r="F192" s="30">
        <v>330</v>
      </c>
      <c r="G192" s="30">
        <v>0</v>
      </c>
      <c r="H192" s="32">
        <f t="shared" si="27"/>
        <v>10230</v>
      </c>
      <c r="I192" s="30">
        <v>0</v>
      </c>
      <c r="J192" s="30">
        <v>0</v>
      </c>
      <c r="K192" s="33">
        <f t="shared" si="20"/>
        <v>10230</v>
      </c>
    </row>
    <row r="193" spans="1:11" ht="17.25" customHeight="1" x14ac:dyDescent="0.25">
      <c r="A193" s="28" t="s">
        <v>206</v>
      </c>
      <c r="B193" s="132" t="s">
        <v>74</v>
      </c>
      <c r="C193" s="36">
        <v>0</v>
      </c>
      <c r="D193" s="31"/>
      <c r="E193" s="30">
        <v>0</v>
      </c>
      <c r="F193" s="30">
        <v>0</v>
      </c>
      <c r="G193" s="30">
        <f>5534</f>
        <v>5534</v>
      </c>
      <c r="H193" s="32">
        <f t="shared" si="27"/>
        <v>5534</v>
      </c>
      <c r="I193" s="30">
        <v>0</v>
      </c>
      <c r="J193" s="30">
        <v>0</v>
      </c>
      <c r="K193" s="33">
        <f t="shared" si="20"/>
        <v>5534</v>
      </c>
    </row>
    <row r="194" spans="1:11" ht="24.75" customHeight="1" x14ac:dyDescent="0.25">
      <c r="A194" s="28" t="s">
        <v>207</v>
      </c>
      <c r="B194" s="137"/>
      <c r="C194" s="36">
        <v>4.29</v>
      </c>
      <c r="D194" s="31">
        <v>0</v>
      </c>
      <c r="E194" s="30">
        <f t="shared" si="26"/>
        <v>4.29</v>
      </c>
      <c r="F194" s="30">
        <v>0</v>
      </c>
      <c r="G194" s="30">
        <v>0</v>
      </c>
      <c r="H194" s="32">
        <f t="shared" si="27"/>
        <v>4.29</v>
      </c>
      <c r="I194" s="30">
        <v>0</v>
      </c>
      <c r="J194" s="30">
        <v>0</v>
      </c>
      <c r="K194" s="33">
        <f t="shared" si="20"/>
        <v>4.29</v>
      </c>
    </row>
    <row r="195" spans="1:11" ht="16.5" customHeight="1" x14ac:dyDescent="0.25">
      <c r="A195" s="135" t="s">
        <v>208</v>
      </c>
      <c r="B195" s="137"/>
      <c r="C195" s="36">
        <v>0</v>
      </c>
      <c r="D195" s="31">
        <v>0</v>
      </c>
      <c r="E195" s="30">
        <f t="shared" si="26"/>
        <v>0</v>
      </c>
      <c r="F195" s="30">
        <v>0</v>
      </c>
      <c r="G195" s="30">
        <v>0</v>
      </c>
      <c r="H195" s="32">
        <f t="shared" si="27"/>
        <v>0</v>
      </c>
      <c r="I195" s="30">
        <v>0</v>
      </c>
      <c r="J195" s="30">
        <v>0</v>
      </c>
      <c r="K195" s="33">
        <f t="shared" si="20"/>
        <v>0</v>
      </c>
    </row>
    <row r="196" spans="1:11" ht="16.5" customHeight="1" x14ac:dyDescent="0.25">
      <c r="A196" s="28" t="s">
        <v>209</v>
      </c>
      <c r="B196" s="132" t="s">
        <v>53</v>
      </c>
      <c r="C196" s="36">
        <v>20</v>
      </c>
      <c r="D196" s="31">
        <v>0</v>
      </c>
      <c r="E196" s="30">
        <f t="shared" si="26"/>
        <v>20</v>
      </c>
      <c r="F196" s="30">
        <v>0</v>
      </c>
      <c r="G196" s="30">
        <v>0</v>
      </c>
      <c r="H196" s="32">
        <f t="shared" si="27"/>
        <v>20</v>
      </c>
      <c r="I196" s="30">
        <v>0</v>
      </c>
      <c r="J196" s="30">
        <v>0</v>
      </c>
      <c r="K196" s="33">
        <f t="shared" si="20"/>
        <v>20</v>
      </c>
    </row>
    <row r="197" spans="1:11" ht="16.5" customHeight="1" x14ac:dyDescent="0.25">
      <c r="A197" s="28" t="s">
        <v>210</v>
      </c>
      <c r="B197" s="132" t="s">
        <v>53</v>
      </c>
      <c r="C197" s="36">
        <v>20</v>
      </c>
      <c r="D197" s="31">
        <v>0</v>
      </c>
      <c r="E197" s="30">
        <f t="shared" si="26"/>
        <v>20</v>
      </c>
      <c r="F197" s="30">
        <v>0</v>
      </c>
      <c r="G197" s="30">
        <v>0</v>
      </c>
      <c r="H197" s="32">
        <f t="shared" si="27"/>
        <v>20</v>
      </c>
      <c r="I197" s="30">
        <v>0</v>
      </c>
      <c r="J197" s="30">
        <v>0</v>
      </c>
      <c r="K197" s="33">
        <f t="shared" si="20"/>
        <v>20</v>
      </c>
    </row>
    <row r="198" spans="1:11" ht="17.25" customHeight="1" x14ac:dyDescent="0.25">
      <c r="A198" s="136" t="s">
        <v>211</v>
      </c>
      <c r="B198" s="132" t="s">
        <v>53</v>
      </c>
      <c r="C198" s="36">
        <v>70</v>
      </c>
      <c r="D198" s="31">
        <v>0</v>
      </c>
      <c r="E198" s="30">
        <f t="shared" si="26"/>
        <v>70</v>
      </c>
      <c r="F198" s="30">
        <v>0</v>
      </c>
      <c r="G198" s="30">
        <v>0</v>
      </c>
      <c r="H198" s="32">
        <f t="shared" si="27"/>
        <v>70</v>
      </c>
      <c r="I198" s="30">
        <v>0</v>
      </c>
      <c r="J198" s="30">
        <v>0</v>
      </c>
      <c r="K198" s="33">
        <f t="shared" si="20"/>
        <v>70</v>
      </c>
    </row>
    <row r="199" spans="1:11" ht="17.25" customHeight="1" x14ac:dyDescent="0.25">
      <c r="A199" s="136" t="s">
        <v>212</v>
      </c>
      <c r="B199" s="132" t="s">
        <v>74</v>
      </c>
      <c r="C199" s="36">
        <v>3700</v>
      </c>
      <c r="D199" s="31">
        <v>0</v>
      </c>
      <c r="E199" s="30">
        <f t="shared" si="26"/>
        <v>3700</v>
      </c>
      <c r="F199" s="30">
        <v>0</v>
      </c>
      <c r="G199" s="30">
        <v>0</v>
      </c>
      <c r="H199" s="32">
        <f t="shared" si="27"/>
        <v>3700</v>
      </c>
      <c r="I199" s="30">
        <v>0</v>
      </c>
      <c r="J199" s="30">
        <v>0</v>
      </c>
      <c r="K199" s="33">
        <f t="shared" si="20"/>
        <v>3700</v>
      </c>
    </row>
    <row r="200" spans="1:11" ht="16.5" customHeight="1" x14ac:dyDescent="0.25">
      <c r="A200" s="136" t="s">
        <v>213</v>
      </c>
      <c r="B200" s="132" t="s">
        <v>53</v>
      </c>
      <c r="C200" s="36">
        <v>80</v>
      </c>
      <c r="D200" s="31">
        <v>0</v>
      </c>
      <c r="E200" s="30">
        <f t="shared" si="26"/>
        <v>80</v>
      </c>
      <c r="F200" s="30">
        <v>0</v>
      </c>
      <c r="G200" s="30">
        <v>0</v>
      </c>
      <c r="H200" s="32">
        <f t="shared" si="27"/>
        <v>80</v>
      </c>
      <c r="I200" s="30">
        <v>0</v>
      </c>
      <c r="J200" s="30">
        <v>0</v>
      </c>
      <c r="K200" s="33">
        <f t="shared" si="20"/>
        <v>80</v>
      </c>
    </row>
    <row r="201" spans="1:11" ht="16.5" customHeight="1" x14ac:dyDescent="0.25">
      <c r="A201" s="136" t="s">
        <v>214</v>
      </c>
      <c r="B201" s="132" t="s">
        <v>74</v>
      </c>
      <c r="C201" s="36">
        <v>50</v>
      </c>
      <c r="D201" s="31">
        <v>0</v>
      </c>
      <c r="E201" s="30">
        <f t="shared" si="26"/>
        <v>50</v>
      </c>
      <c r="F201" s="30">
        <v>0</v>
      </c>
      <c r="G201" s="30">
        <v>0</v>
      </c>
      <c r="H201" s="32">
        <f t="shared" si="27"/>
        <v>50</v>
      </c>
      <c r="I201" s="30">
        <v>0</v>
      </c>
      <c r="J201" s="30">
        <v>0</v>
      </c>
      <c r="K201" s="33">
        <f t="shared" si="20"/>
        <v>50</v>
      </c>
    </row>
    <row r="202" spans="1:11" ht="17.25" customHeight="1" x14ac:dyDescent="0.25">
      <c r="A202" s="136" t="s">
        <v>215</v>
      </c>
      <c r="B202" s="132" t="s">
        <v>74</v>
      </c>
      <c r="C202" s="36">
        <v>80</v>
      </c>
      <c r="D202" s="31">
        <v>0</v>
      </c>
      <c r="E202" s="30">
        <f t="shared" si="26"/>
        <v>80</v>
      </c>
      <c r="F202" s="30">
        <v>0</v>
      </c>
      <c r="G202" s="30">
        <v>0</v>
      </c>
      <c r="H202" s="32">
        <f t="shared" si="27"/>
        <v>80</v>
      </c>
      <c r="I202" s="30">
        <v>0</v>
      </c>
      <c r="J202" s="30">
        <v>0</v>
      </c>
      <c r="K202" s="33">
        <f t="shared" si="20"/>
        <v>80</v>
      </c>
    </row>
    <row r="203" spans="1:11" ht="17.25" customHeight="1" x14ac:dyDescent="0.25">
      <c r="A203" s="136" t="s">
        <v>216</v>
      </c>
      <c r="B203" s="132" t="s">
        <v>74</v>
      </c>
      <c r="C203" s="36">
        <v>550</v>
      </c>
      <c r="D203" s="31">
        <v>0</v>
      </c>
      <c r="E203" s="30">
        <f t="shared" si="26"/>
        <v>550</v>
      </c>
      <c r="F203" s="30">
        <v>0</v>
      </c>
      <c r="G203" s="30">
        <v>0</v>
      </c>
      <c r="H203" s="32">
        <f t="shared" si="27"/>
        <v>550</v>
      </c>
      <c r="I203" s="30">
        <v>0</v>
      </c>
      <c r="J203" s="30">
        <v>0</v>
      </c>
      <c r="K203" s="33">
        <f t="shared" si="20"/>
        <v>550</v>
      </c>
    </row>
    <row r="204" spans="1:11" ht="15.75" customHeight="1" x14ac:dyDescent="0.25">
      <c r="A204" s="138" t="s">
        <v>217</v>
      </c>
      <c r="B204" s="132" t="s">
        <v>53</v>
      </c>
      <c r="C204" s="36">
        <v>30</v>
      </c>
      <c r="D204" s="31">
        <v>0</v>
      </c>
      <c r="E204" s="30">
        <f t="shared" si="26"/>
        <v>30</v>
      </c>
      <c r="F204" s="30">
        <v>17.5</v>
      </c>
      <c r="G204" s="30">
        <f>-17.5</f>
        <v>-17.5</v>
      </c>
      <c r="H204" s="32">
        <f t="shared" si="27"/>
        <v>30</v>
      </c>
      <c r="I204" s="30">
        <v>0</v>
      </c>
      <c r="J204" s="30">
        <v>0</v>
      </c>
      <c r="K204" s="33">
        <f t="shared" si="20"/>
        <v>30</v>
      </c>
    </row>
    <row r="205" spans="1:11" ht="14.25" customHeight="1" x14ac:dyDescent="0.25">
      <c r="A205" s="34" t="s">
        <v>218</v>
      </c>
      <c r="B205" s="132" t="s">
        <v>53</v>
      </c>
      <c r="C205" s="36">
        <v>20</v>
      </c>
      <c r="D205" s="31">
        <v>0</v>
      </c>
      <c r="E205" s="30">
        <f>SUM(C205:D205)</f>
        <v>20</v>
      </c>
      <c r="F205" s="30">
        <v>0</v>
      </c>
      <c r="G205" s="30">
        <v>0</v>
      </c>
      <c r="H205" s="32">
        <f t="shared" si="27"/>
        <v>20</v>
      </c>
      <c r="I205" s="30">
        <v>0</v>
      </c>
      <c r="J205" s="30">
        <v>0</v>
      </c>
      <c r="K205" s="33">
        <f t="shared" si="20"/>
        <v>20</v>
      </c>
    </row>
    <row r="206" spans="1:11" ht="14.25" customHeight="1" x14ac:dyDescent="0.25">
      <c r="A206" s="34" t="s">
        <v>219</v>
      </c>
      <c r="B206" s="132" t="s">
        <v>74</v>
      </c>
      <c r="C206" s="36">
        <v>0</v>
      </c>
      <c r="D206" s="31"/>
      <c r="E206" s="30">
        <v>0</v>
      </c>
      <c r="F206" s="30">
        <v>0</v>
      </c>
      <c r="G206" s="30">
        <f>10</f>
        <v>10</v>
      </c>
      <c r="H206" s="32">
        <f>SUM(E206:G206)</f>
        <v>10</v>
      </c>
      <c r="I206" s="30">
        <v>0</v>
      </c>
      <c r="J206" s="30">
        <v>0</v>
      </c>
      <c r="K206" s="33">
        <f t="shared" si="20"/>
        <v>10</v>
      </c>
    </row>
    <row r="207" spans="1:11" ht="14.25" customHeight="1" x14ac:dyDescent="0.25">
      <c r="A207" s="34" t="s">
        <v>220</v>
      </c>
      <c r="B207" s="132" t="s">
        <v>74</v>
      </c>
      <c r="C207" s="36">
        <v>0</v>
      </c>
      <c r="D207" s="31"/>
      <c r="E207" s="30">
        <v>0</v>
      </c>
      <c r="F207" s="30">
        <v>0</v>
      </c>
      <c r="G207" s="30">
        <f>10</f>
        <v>10</v>
      </c>
      <c r="H207" s="32">
        <f>SUM(E207:G207)</f>
        <v>10</v>
      </c>
      <c r="I207" s="30">
        <v>0</v>
      </c>
      <c r="J207" s="30">
        <v>0</v>
      </c>
      <c r="K207" s="33">
        <f t="shared" si="20"/>
        <v>10</v>
      </c>
    </row>
    <row r="208" spans="1:11" ht="51.75" customHeight="1" x14ac:dyDescent="0.25">
      <c r="A208" s="138" t="s">
        <v>221</v>
      </c>
      <c r="B208" s="132" t="s">
        <v>74</v>
      </c>
      <c r="C208" s="36">
        <v>228</v>
      </c>
      <c r="D208" s="31">
        <v>0</v>
      </c>
      <c r="E208" s="30">
        <f t="shared" si="26"/>
        <v>228</v>
      </c>
      <c r="F208" s="30">
        <v>0</v>
      </c>
      <c r="G208" s="30">
        <v>0</v>
      </c>
      <c r="H208" s="32">
        <f t="shared" si="27"/>
        <v>228</v>
      </c>
      <c r="I208" s="30">
        <v>0</v>
      </c>
      <c r="J208" s="30">
        <v>0</v>
      </c>
      <c r="K208" s="33">
        <f t="shared" si="20"/>
        <v>228</v>
      </c>
    </row>
    <row r="209" spans="1:11" ht="17.25" customHeight="1" x14ac:dyDescent="0.25">
      <c r="A209" s="138" t="s">
        <v>222</v>
      </c>
      <c r="B209" s="132" t="s">
        <v>74</v>
      </c>
      <c r="C209" s="36">
        <v>1210</v>
      </c>
      <c r="D209" s="31">
        <v>0</v>
      </c>
      <c r="E209" s="30">
        <f t="shared" si="26"/>
        <v>1210</v>
      </c>
      <c r="F209" s="30">
        <v>0</v>
      </c>
      <c r="G209" s="30">
        <v>0</v>
      </c>
      <c r="H209" s="32">
        <f t="shared" si="27"/>
        <v>1210</v>
      </c>
      <c r="I209" s="30">
        <v>0</v>
      </c>
      <c r="J209" s="30">
        <v>0</v>
      </c>
      <c r="K209" s="33">
        <f t="shared" si="20"/>
        <v>1210</v>
      </c>
    </row>
    <row r="210" spans="1:11" ht="16.5" customHeight="1" x14ac:dyDescent="0.25">
      <c r="A210" s="138" t="s">
        <v>223</v>
      </c>
      <c r="B210" s="132" t="s">
        <v>74</v>
      </c>
      <c r="C210" s="36">
        <v>0</v>
      </c>
      <c r="D210" s="31"/>
      <c r="E210" s="30">
        <v>0</v>
      </c>
      <c r="F210" s="30">
        <v>0</v>
      </c>
      <c r="G210" s="30">
        <f>5</f>
        <v>5</v>
      </c>
      <c r="H210" s="32">
        <f>SUM(E210:G210)</f>
        <v>5</v>
      </c>
      <c r="I210" s="30">
        <v>0</v>
      </c>
      <c r="J210" s="30">
        <v>0</v>
      </c>
      <c r="K210" s="33">
        <f t="shared" si="20"/>
        <v>5</v>
      </c>
    </row>
    <row r="211" spans="1:11" ht="17.25" customHeight="1" x14ac:dyDescent="0.25">
      <c r="A211" s="138" t="s">
        <v>224</v>
      </c>
      <c r="B211" s="132" t="s">
        <v>74</v>
      </c>
      <c r="C211" s="36">
        <v>0</v>
      </c>
      <c r="D211" s="31"/>
      <c r="E211" s="30">
        <v>0</v>
      </c>
      <c r="F211" s="30">
        <v>50</v>
      </c>
      <c r="G211" s="30">
        <v>0</v>
      </c>
      <c r="H211" s="32">
        <f t="shared" si="27"/>
        <v>50</v>
      </c>
      <c r="I211" s="30">
        <v>0</v>
      </c>
      <c r="J211" s="30">
        <v>0</v>
      </c>
      <c r="K211" s="33">
        <f t="shared" ref="K211:K280" si="28">SUM(H211:J211)</f>
        <v>50</v>
      </c>
    </row>
    <row r="212" spans="1:11" ht="16.5" customHeight="1" x14ac:dyDescent="0.25">
      <c r="A212" s="138" t="s">
        <v>225</v>
      </c>
      <c r="B212" s="132" t="s">
        <v>74</v>
      </c>
      <c r="C212" s="36">
        <v>0</v>
      </c>
      <c r="D212" s="31"/>
      <c r="E212" s="30">
        <v>0</v>
      </c>
      <c r="F212" s="30">
        <v>100</v>
      </c>
      <c r="G212" s="30">
        <v>0</v>
      </c>
      <c r="H212" s="32">
        <f t="shared" si="27"/>
        <v>100</v>
      </c>
      <c r="I212" s="30">
        <v>0</v>
      </c>
      <c r="J212" s="30">
        <v>0</v>
      </c>
      <c r="K212" s="33">
        <f t="shared" si="28"/>
        <v>100</v>
      </c>
    </row>
    <row r="213" spans="1:11" ht="17.25" customHeight="1" x14ac:dyDescent="0.25">
      <c r="A213" s="34" t="s">
        <v>226</v>
      </c>
      <c r="B213" s="132" t="s">
        <v>74</v>
      </c>
      <c r="C213" s="36">
        <v>668</v>
      </c>
      <c r="D213" s="31">
        <v>0</v>
      </c>
      <c r="E213" s="30">
        <f t="shared" si="26"/>
        <v>668</v>
      </c>
      <c r="F213" s="30">
        <v>0</v>
      </c>
      <c r="G213" s="30">
        <v>0</v>
      </c>
      <c r="H213" s="32">
        <f t="shared" si="27"/>
        <v>668</v>
      </c>
      <c r="I213" s="30">
        <v>0</v>
      </c>
      <c r="J213" s="30">
        <v>0</v>
      </c>
      <c r="K213" s="33">
        <f t="shared" si="28"/>
        <v>668</v>
      </c>
    </row>
    <row r="214" spans="1:11" ht="16.5" customHeight="1" x14ac:dyDescent="0.25">
      <c r="A214" s="34" t="s">
        <v>227</v>
      </c>
      <c r="B214" s="132" t="s">
        <v>74</v>
      </c>
      <c r="C214" s="36">
        <v>526</v>
      </c>
      <c r="D214" s="31">
        <v>0</v>
      </c>
      <c r="E214" s="30">
        <f t="shared" si="26"/>
        <v>526</v>
      </c>
      <c r="F214" s="30">
        <v>0</v>
      </c>
      <c r="G214" s="30">
        <v>0</v>
      </c>
      <c r="H214" s="32">
        <f t="shared" si="27"/>
        <v>526</v>
      </c>
      <c r="I214" s="30">
        <v>0</v>
      </c>
      <c r="J214" s="30">
        <v>0</v>
      </c>
      <c r="K214" s="33">
        <f t="shared" si="28"/>
        <v>526</v>
      </c>
    </row>
    <row r="215" spans="1:11" ht="19.5" customHeight="1" x14ac:dyDescent="0.25">
      <c r="A215" s="34" t="s">
        <v>228</v>
      </c>
      <c r="B215" s="132" t="s">
        <v>74</v>
      </c>
      <c r="C215" s="36">
        <v>110</v>
      </c>
      <c r="D215" s="31">
        <v>0</v>
      </c>
      <c r="E215" s="30">
        <f t="shared" si="26"/>
        <v>110</v>
      </c>
      <c r="F215" s="30">
        <v>0</v>
      </c>
      <c r="G215" s="30">
        <v>0</v>
      </c>
      <c r="H215" s="32">
        <f t="shared" si="27"/>
        <v>110</v>
      </c>
      <c r="I215" s="30">
        <v>0</v>
      </c>
      <c r="J215" s="30">
        <v>0</v>
      </c>
      <c r="K215" s="33">
        <f t="shared" si="28"/>
        <v>110</v>
      </c>
    </row>
    <row r="216" spans="1:11" ht="16.5" customHeight="1" x14ac:dyDescent="0.25">
      <c r="A216" s="34" t="s">
        <v>229</v>
      </c>
      <c r="B216" s="132" t="s">
        <v>74</v>
      </c>
      <c r="C216" s="36">
        <v>476</v>
      </c>
      <c r="D216" s="31">
        <v>0</v>
      </c>
      <c r="E216" s="30">
        <f t="shared" si="26"/>
        <v>476</v>
      </c>
      <c r="F216" s="30">
        <v>0</v>
      </c>
      <c r="G216" s="30">
        <v>0</v>
      </c>
      <c r="H216" s="32">
        <f t="shared" si="27"/>
        <v>476</v>
      </c>
      <c r="I216" s="30">
        <v>0</v>
      </c>
      <c r="J216" s="30">
        <v>0</v>
      </c>
      <c r="K216" s="33">
        <f t="shared" si="28"/>
        <v>476</v>
      </c>
    </row>
    <row r="217" spans="1:11" ht="16.5" customHeight="1" x14ac:dyDescent="0.25">
      <c r="A217" s="34" t="s">
        <v>230</v>
      </c>
      <c r="B217" s="132" t="s">
        <v>74</v>
      </c>
      <c r="C217" s="36">
        <v>750</v>
      </c>
      <c r="D217" s="31">
        <v>0</v>
      </c>
      <c r="E217" s="30">
        <f t="shared" si="26"/>
        <v>750</v>
      </c>
      <c r="F217" s="30">
        <v>0</v>
      </c>
      <c r="G217" s="30">
        <v>0</v>
      </c>
      <c r="H217" s="32">
        <f t="shared" si="27"/>
        <v>750</v>
      </c>
      <c r="I217" s="30">
        <v>0</v>
      </c>
      <c r="J217" s="30">
        <v>0</v>
      </c>
      <c r="K217" s="33">
        <f t="shared" si="28"/>
        <v>750</v>
      </c>
    </row>
    <row r="218" spans="1:11" ht="17.25" customHeight="1" x14ac:dyDescent="0.25">
      <c r="A218" s="138" t="s">
        <v>231</v>
      </c>
      <c r="B218" s="132" t="s">
        <v>74</v>
      </c>
      <c r="C218" s="36">
        <v>0</v>
      </c>
      <c r="D218" s="40"/>
      <c r="E218" s="30">
        <v>0</v>
      </c>
      <c r="F218" s="30">
        <v>150</v>
      </c>
      <c r="G218" s="30">
        <v>0</v>
      </c>
      <c r="H218" s="32">
        <f t="shared" si="27"/>
        <v>150</v>
      </c>
      <c r="I218" s="30">
        <v>0</v>
      </c>
      <c r="J218" s="30">
        <v>0</v>
      </c>
      <c r="K218" s="33">
        <f t="shared" si="28"/>
        <v>150</v>
      </c>
    </row>
    <row r="219" spans="1:11" ht="16.5" customHeight="1" x14ac:dyDescent="0.25">
      <c r="A219" s="139" t="s">
        <v>232</v>
      </c>
      <c r="B219" s="140" t="s">
        <v>74</v>
      </c>
      <c r="C219" s="36">
        <v>0</v>
      </c>
      <c r="D219" s="40"/>
      <c r="E219" s="30"/>
      <c r="F219" s="30"/>
      <c r="G219" s="30"/>
      <c r="H219" s="32">
        <v>0</v>
      </c>
      <c r="I219" s="30">
        <v>200</v>
      </c>
      <c r="J219" s="30">
        <v>0</v>
      </c>
      <c r="K219" s="33">
        <f t="shared" si="28"/>
        <v>200</v>
      </c>
    </row>
    <row r="220" spans="1:11" ht="15.75" thickBot="1" x14ac:dyDescent="0.3">
      <c r="A220" s="133" t="s">
        <v>233</v>
      </c>
      <c r="B220" s="106"/>
      <c r="C220" s="39">
        <v>3529.25</v>
      </c>
      <c r="D220" s="128">
        <f>16.22</f>
        <v>16.22</v>
      </c>
      <c r="E220" s="41">
        <f t="shared" si="26"/>
        <v>3545.47</v>
      </c>
      <c r="F220" s="41">
        <v>1211.27</v>
      </c>
      <c r="G220" s="41">
        <f>-16.22-7.5</f>
        <v>-23.72</v>
      </c>
      <c r="H220" s="141">
        <f t="shared" si="27"/>
        <v>4733.0199999999995</v>
      </c>
      <c r="I220" s="39">
        <v>250</v>
      </c>
      <c r="J220" s="39">
        <v>0</v>
      </c>
      <c r="K220" s="43">
        <f t="shared" si="28"/>
        <v>4983.0199999999995</v>
      </c>
    </row>
    <row r="221" spans="1:11" ht="14.25" customHeight="1" thickBot="1" x14ac:dyDescent="0.3">
      <c r="A221" s="134" t="s">
        <v>234</v>
      </c>
      <c r="B221" s="125"/>
      <c r="C221" s="117">
        <f>SUM(C223:C224)</f>
        <v>16860</v>
      </c>
      <c r="D221" s="118">
        <f>SUM(D223:D224)</f>
        <v>-4139</v>
      </c>
      <c r="E221" s="117">
        <f>SUM(C221:D221)</f>
        <v>12721</v>
      </c>
      <c r="F221" s="117">
        <f>SUM(F223:F224)</f>
        <v>28053</v>
      </c>
      <c r="G221" s="117">
        <f>SUM(G223:G224)</f>
        <v>258</v>
      </c>
      <c r="H221" s="119">
        <f>SUM(H223:H224)</f>
        <v>41416</v>
      </c>
      <c r="I221" s="117">
        <f>SUM(I223:I224)</f>
        <v>0</v>
      </c>
      <c r="J221" s="117">
        <f>SUM(J223:J224)</f>
        <v>-27831</v>
      </c>
      <c r="K221" s="98">
        <f t="shared" si="28"/>
        <v>13585</v>
      </c>
    </row>
    <row r="222" spans="1:11" ht="14.25" customHeight="1" x14ac:dyDescent="0.25">
      <c r="A222" s="135" t="s">
        <v>34</v>
      </c>
      <c r="B222" s="100"/>
      <c r="C222" s="30"/>
      <c r="D222" s="31"/>
      <c r="E222" s="30"/>
      <c r="F222" s="30"/>
      <c r="G222" s="30"/>
      <c r="H222" s="32"/>
      <c r="I222" s="30"/>
      <c r="J222" s="30"/>
      <c r="K222" s="33"/>
    </row>
    <row r="223" spans="1:11" ht="16.5" customHeight="1" x14ac:dyDescent="0.25">
      <c r="A223" s="136" t="s">
        <v>235</v>
      </c>
      <c r="B223" s="102"/>
      <c r="C223" s="36">
        <v>0</v>
      </c>
      <c r="D223" s="31">
        <v>0</v>
      </c>
      <c r="E223" s="66">
        <f>SUM(C223:D223)</f>
        <v>0</v>
      </c>
      <c r="F223" s="66">
        <v>0</v>
      </c>
      <c r="G223" s="66">
        <v>0</v>
      </c>
      <c r="H223" s="110">
        <f>SUM(E223:G223)</f>
        <v>0</v>
      </c>
      <c r="I223" s="66">
        <v>0</v>
      </c>
      <c r="J223" s="66">
        <v>0</v>
      </c>
      <c r="K223" s="33">
        <f t="shared" si="28"/>
        <v>0</v>
      </c>
    </row>
    <row r="224" spans="1:11" ht="16.5" customHeight="1" thickBot="1" x14ac:dyDescent="0.3">
      <c r="A224" s="133" t="s">
        <v>236</v>
      </c>
      <c r="B224" s="106"/>
      <c r="C224" s="39">
        <v>16860</v>
      </c>
      <c r="D224" s="128">
        <f>-6757+2325+293</f>
        <v>-4139</v>
      </c>
      <c r="E224" s="129">
        <f>SUM(C224:D224)+254</f>
        <v>12975</v>
      </c>
      <c r="F224" s="129">
        <v>28053</v>
      </c>
      <c r="G224" s="129">
        <f>-407+665</f>
        <v>258</v>
      </c>
      <c r="H224" s="130">
        <f>SUM(E224:G224)+130</f>
        <v>41416</v>
      </c>
      <c r="I224" s="129">
        <v>0</v>
      </c>
      <c r="J224" s="129">
        <f>-1423-20794-5614</f>
        <v>-27831</v>
      </c>
      <c r="K224" s="43">
        <f t="shared" si="28"/>
        <v>13585</v>
      </c>
    </row>
    <row r="225" spans="1:11" ht="17.25" customHeight="1" thickBot="1" x14ac:dyDescent="0.3">
      <c r="A225" s="134" t="s">
        <v>237</v>
      </c>
      <c r="B225" s="125"/>
      <c r="C225" s="117">
        <f>SUM(C227:C247)</f>
        <v>16727.21</v>
      </c>
      <c r="D225" s="118">
        <f>SUM(D227:D247)</f>
        <v>0</v>
      </c>
      <c r="E225" s="117">
        <f>SUM(C225:D225)</f>
        <v>16727.21</v>
      </c>
      <c r="F225" s="117">
        <f>SUM(F227:F247)</f>
        <v>2023.6799999999998</v>
      </c>
      <c r="G225" s="117">
        <f>SUM(G227:G247)</f>
        <v>92.3</v>
      </c>
      <c r="H225" s="119">
        <f>SUM(H227:H247)</f>
        <v>18912.89</v>
      </c>
      <c r="I225" s="117">
        <f>SUM(I227:I247)</f>
        <v>-200</v>
      </c>
      <c r="J225" s="117">
        <f>SUM(J227:J247)</f>
        <v>1030.0999999999999</v>
      </c>
      <c r="K225" s="98">
        <f t="shared" si="28"/>
        <v>19742.989999999998</v>
      </c>
    </row>
    <row r="226" spans="1:11" ht="14.25" customHeight="1" x14ac:dyDescent="0.25">
      <c r="A226" s="135" t="s">
        <v>34</v>
      </c>
      <c r="B226" s="100"/>
      <c r="C226" s="30"/>
      <c r="D226" s="31"/>
      <c r="E226" s="30"/>
      <c r="F226" s="30"/>
      <c r="G226" s="30"/>
      <c r="H226" s="32"/>
      <c r="I226" s="30"/>
      <c r="J226" s="30"/>
      <c r="K226" s="33"/>
    </row>
    <row r="227" spans="1:11" ht="27" customHeight="1" x14ac:dyDescent="0.25">
      <c r="A227" s="34" t="s">
        <v>238</v>
      </c>
      <c r="B227" s="102"/>
      <c r="C227" s="36">
        <v>105.93</v>
      </c>
      <c r="D227" s="31">
        <v>0</v>
      </c>
      <c r="E227" s="30">
        <f>SUM(C227:D227)</f>
        <v>105.93</v>
      </c>
      <c r="F227" s="30">
        <v>0</v>
      </c>
      <c r="G227" s="30">
        <v>0</v>
      </c>
      <c r="H227" s="32">
        <f>SUM(E227:G227)</f>
        <v>105.93</v>
      </c>
      <c r="I227" s="30">
        <v>0</v>
      </c>
      <c r="J227" s="30">
        <v>0</v>
      </c>
      <c r="K227" s="33">
        <f t="shared" si="28"/>
        <v>105.93</v>
      </c>
    </row>
    <row r="228" spans="1:11" ht="40.5" customHeight="1" x14ac:dyDescent="0.25">
      <c r="A228" s="34" t="s">
        <v>239</v>
      </c>
      <c r="B228" s="132" t="s">
        <v>240</v>
      </c>
      <c r="C228" s="36">
        <v>860</v>
      </c>
      <c r="D228" s="31">
        <v>0</v>
      </c>
      <c r="E228" s="30">
        <f t="shared" ref="E228:E247" si="29">SUM(C228:D228)</f>
        <v>860</v>
      </c>
      <c r="F228" s="30">
        <v>-180</v>
      </c>
      <c r="G228" s="30">
        <v>0</v>
      </c>
      <c r="H228" s="32">
        <f t="shared" ref="H228:H233" si="30">SUM(E228:G228)</f>
        <v>680</v>
      </c>
      <c r="I228" s="30">
        <v>0</v>
      </c>
      <c r="J228" s="30">
        <v>0</v>
      </c>
      <c r="K228" s="33">
        <f t="shared" si="28"/>
        <v>680</v>
      </c>
    </row>
    <row r="229" spans="1:11" ht="29.25" customHeight="1" x14ac:dyDescent="0.25">
      <c r="A229" s="34" t="s">
        <v>241</v>
      </c>
      <c r="B229" s="132" t="s">
        <v>242</v>
      </c>
      <c r="C229" s="36">
        <v>400</v>
      </c>
      <c r="D229" s="31">
        <v>0</v>
      </c>
      <c r="E229" s="30">
        <f t="shared" si="29"/>
        <v>400</v>
      </c>
      <c r="F229" s="30">
        <v>480</v>
      </c>
      <c r="G229" s="30">
        <v>0</v>
      </c>
      <c r="H229" s="32">
        <f t="shared" si="30"/>
        <v>880</v>
      </c>
      <c r="I229" s="30">
        <v>0</v>
      </c>
      <c r="J229" s="30">
        <v>0</v>
      </c>
      <c r="K229" s="33">
        <f t="shared" si="28"/>
        <v>880</v>
      </c>
    </row>
    <row r="230" spans="1:11" ht="27.75" customHeight="1" x14ac:dyDescent="0.25">
      <c r="A230" s="34" t="s">
        <v>243</v>
      </c>
      <c r="B230" s="132" t="s">
        <v>244</v>
      </c>
      <c r="C230" s="36">
        <v>300</v>
      </c>
      <c r="D230" s="31">
        <v>0</v>
      </c>
      <c r="E230" s="30">
        <f t="shared" si="29"/>
        <v>300</v>
      </c>
      <c r="F230" s="30">
        <v>0</v>
      </c>
      <c r="G230" s="30">
        <v>0</v>
      </c>
      <c r="H230" s="32">
        <f t="shared" si="30"/>
        <v>300</v>
      </c>
      <c r="I230" s="30">
        <v>0</v>
      </c>
      <c r="J230" s="30">
        <v>0</v>
      </c>
      <c r="K230" s="33">
        <f t="shared" si="28"/>
        <v>300</v>
      </c>
    </row>
    <row r="231" spans="1:11" ht="18" customHeight="1" x14ac:dyDescent="0.25">
      <c r="A231" s="34" t="s">
        <v>245</v>
      </c>
      <c r="B231" s="132" t="s">
        <v>74</v>
      </c>
      <c r="C231" s="36">
        <v>6732</v>
      </c>
      <c r="D231" s="31">
        <v>0</v>
      </c>
      <c r="E231" s="30">
        <f t="shared" si="29"/>
        <v>6732</v>
      </c>
      <c r="F231" s="30">
        <v>0</v>
      </c>
      <c r="G231" s="30">
        <v>0</v>
      </c>
      <c r="H231" s="32">
        <f t="shared" si="30"/>
        <v>6732</v>
      </c>
      <c r="I231" s="30">
        <v>0</v>
      </c>
      <c r="J231" s="30">
        <v>0</v>
      </c>
      <c r="K231" s="33">
        <f t="shared" si="28"/>
        <v>6732</v>
      </c>
    </row>
    <row r="232" spans="1:11" ht="18" customHeight="1" x14ac:dyDescent="0.25">
      <c r="A232" s="34" t="s">
        <v>246</v>
      </c>
      <c r="B232" s="132" t="s">
        <v>40</v>
      </c>
      <c r="C232" s="36">
        <v>0</v>
      </c>
      <c r="D232" s="31"/>
      <c r="E232" s="30"/>
      <c r="F232" s="30"/>
      <c r="G232" s="30"/>
      <c r="H232" s="32">
        <v>0</v>
      </c>
      <c r="I232" s="30">
        <v>0</v>
      </c>
      <c r="J232" s="30">
        <f>40</f>
        <v>40</v>
      </c>
      <c r="K232" s="33">
        <f>SUM(H232:J232)</f>
        <v>40</v>
      </c>
    </row>
    <row r="233" spans="1:11" ht="29.25" customHeight="1" x14ac:dyDescent="0.25">
      <c r="A233" s="34" t="s">
        <v>247</v>
      </c>
      <c r="B233" s="132" t="s">
        <v>74</v>
      </c>
      <c r="C233" s="36">
        <v>550</v>
      </c>
      <c r="D233" s="31">
        <v>0</v>
      </c>
      <c r="E233" s="30">
        <f t="shared" si="29"/>
        <v>550</v>
      </c>
      <c r="F233" s="30">
        <v>0</v>
      </c>
      <c r="G233" s="30">
        <v>0</v>
      </c>
      <c r="H233" s="32">
        <f t="shared" si="30"/>
        <v>550</v>
      </c>
      <c r="I233" s="30">
        <v>0</v>
      </c>
      <c r="J233" s="30">
        <v>0</v>
      </c>
      <c r="K233" s="33">
        <f t="shared" si="28"/>
        <v>550</v>
      </c>
    </row>
    <row r="234" spans="1:11" ht="29.25" customHeight="1" x14ac:dyDescent="0.25">
      <c r="A234" s="34" t="s">
        <v>248</v>
      </c>
      <c r="B234" s="132"/>
      <c r="C234" s="36">
        <v>240</v>
      </c>
      <c r="D234" s="31">
        <v>0</v>
      </c>
      <c r="E234" s="30">
        <f t="shared" si="29"/>
        <v>240</v>
      </c>
      <c r="F234" s="30">
        <v>0</v>
      </c>
      <c r="G234" s="30">
        <v>0</v>
      </c>
      <c r="H234" s="32">
        <f>SUM(E234:G234)</f>
        <v>240</v>
      </c>
      <c r="I234" s="30">
        <v>0</v>
      </c>
      <c r="J234" s="30">
        <v>0</v>
      </c>
      <c r="K234" s="33">
        <f t="shared" si="28"/>
        <v>240</v>
      </c>
    </row>
    <row r="235" spans="1:11" ht="17.25" customHeight="1" x14ac:dyDescent="0.25">
      <c r="A235" s="136" t="s">
        <v>249</v>
      </c>
      <c r="B235" s="132" t="s">
        <v>250</v>
      </c>
      <c r="C235" s="36">
        <v>400</v>
      </c>
      <c r="D235" s="31">
        <v>0</v>
      </c>
      <c r="E235" s="30">
        <f t="shared" si="29"/>
        <v>400</v>
      </c>
      <c r="F235" s="30">
        <v>0</v>
      </c>
      <c r="G235" s="30">
        <v>0</v>
      </c>
      <c r="H235" s="32">
        <f t="shared" ref="H235:H242" si="31">SUM(E235:G235)</f>
        <v>400</v>
      </c>
      <c r="I235" s="30">
        <v>0</v>
      </c>
      <c r="J235" s="30">
        <v>0</v>
      </c>
      <c r="K235" s="33">
        <f t="shared" si="28"/>
        <v>400</v>
      </c>
    </row>
    <row r="236" spans="1:11" ht="26.25" customHeight="1" x14ac:dyDescent="0.25">
      <c r="A236" s="34" t="s">
        <v>251</v>
      </c>
      <c r="B236" s="132"/>
      <c r="C236" s="36">
        <v>5</v>
      </c>
      <c r="D236" s="31">
        <v>0</v>
      </c>
      <c r="E236" s="30">
        <f t="shared" si="29"/>
        <v>5</v>
      </c>
      <c r="F236" s="30">
        <v>0</v>
      </c>
      <c r="G236" s="30">
        <v>0</v>
      </c>
      <c r="H236" s="32">
        <f t="shared" si="31"/>
        <v>5</v>
      </c>
      <c r="I236" s="30">
        <v>0</v>
      </c>
      <c r="J236" s="30">
        <v>0</v>
      </c>
      <c r="K236" s="33">
        <f t="shared" si="28"/>
        <v>5</v>
      </c>
    </row>
    <row r="237" spans="1:11" ht="24.75" customHeight="1" x14ac:dyDescent="0.25">
      <c r="A237" s="34" t="s">
        <v>252</v>
      </c>
      <c r="B237" s="132"/>
      <c r="C237" s="36">
        <v>70</v>
      </c>
      <c r="D237" s="31">
        <v>0</v>
      </c>
      <c r="E237" s="30">
        <f t="shared" si="29"/>
        <v>70</v>
      </c>
      <c r="F237" s="30">
        <v>0</v>
      </c>
      <c r="G237" s="30">
        <v>0</v>
      </c>
      <c r="H237" s="32">
        <f t="shared" si="31"/>
        <v>70</v>
      </c>
      <c r="I237" s="30">
        <v>0</v>
      </c>
      <c r="J237" s="30">
        <v>0</v>
      </c>
      <c r="K237" s="33">
        <f t="shared" si="28"/>
        <v>70</v>
      </c>
    </row>
    <row r="238" spans="1:11" ht="17.25" customHeight="1" x14ac:dyDescent="0.25">
      <c r="A238" s="136" t="s">
        <v>253</v>
      </c>
      <c r="B238" s="132"/>
      <c r="C238" s="36">
        <v>300</v>
      </c>
      <c r="D238" s="31">
        <v>0</v>
      </c>
      <c r="E238" s="30">
        <f t="shared" si="29"/>
        <v>300</v>
      </c>
      <c r="F238" s="30">
        <v>0</v>
      </c>
      <c r="G238" s="30">
        <v>0</v>
      </c>
      <c r="H238" s="32">
        <f t="shared" si="31"/>
        <v>300</v>
      </c>
      <c r="I238" s="30">
        <v>0</v>
      </c>
      <c r="J238" s="30">
        <v>0</v>
      </c>
      <c r="K238" s="33">
        <f t="shared" si="28"/>
        <v>300</v>
      </c>
    </row>
    <row r="239" spans="1:11" ht="15.75" customHeight="1" x14ac:dyDescent="0.25">
      <c r="A239" s="136" t="s">
        <v>254</v>
      </c>
      <c r="B239" s="132"/>
      <c r="C239" s="36">
        <v>2</v>
      </c>
      <c r="D239" s="31">
        <v>0</v>
      </c>
      <c r="E239" s="30">
        <f t="shared" si="29"/>
        <v>2</v>
      </c>
      <c r="F239" s="30">
        <v>0</v>
      </c>
      <c r="G239" s="30">
        <v>0</v>
      </c>
      <c r="H239" s="32">
        <f t="shared" si="31"/>
        <v>2</v>
      </c>
      <c r="I239" s="30">
        <v>0</v>
      </c>
      <c r="J239" s="30">
        <v>0</v>
      </c>
      <c r="K239" s="33">
        <f t="shared" si="28"/>
        <v>2</v>
      </c>
    </row>
    <row r="240" spans="1:11" ht="18" customHeight="1" x14ac:dyDescent="0.25">
      <c r="A240" s="136" t="s">
        <v>255</v>
      </c>
      <c r="B240" s="132"/>
      <c r="C240" s="36">
        <v>188</v>
      </c>
      <c r="D240" s="31">
        <v>0</v>
      </c>
      <c r="E240" s="30">
        <f t="shared" si="29"/>
        <v>188</v>
      </c>
      <c r="F240" s="30">
        <v>0</v>
      </c>
      <c r="G240" s="30">
        <v>0</v>
      </c>
      <c r="H240" s="32">
        <f t="shared" si="31"/>
        <v>188</v>
      </c>
      <c r="I240" s="30">
        <v>0</v>
      </c>
      <c r="J240" s="30">
        <v>0</v>
      </c>
      <c r="K240" s="33">
        <f t="shared" si="28"/>
        <v>188</v>
      </c>
    </row>
    <row r="241" spans="1:11" ht="16.5" customHeight="1" x14ac:dyDescent="0.25">
      <c r="A241" s="136" t="s">
        <v>256</v>
      </c>
      <c r="B241" s="132"/>
      <c r="C241" s="36">
        <v>15</v>
      </c>
      <c r="D241" s="31">
        <v>0</v>
      </c>
      <c r="E241" s="30">
        <f t="shared" si="29"/>
        <v>15</v>
      </c>
      <c r="F241" s="30">
        <v>0</v>
      </c>
      <c r="G241" s="30">
        <v>0</v>
      </c>
      <c r="H241" s="32">
        <f t="shared" si="31"/>
        <v>15</v>
      </c>
      <c r="I241" s="30">
        <v>0</v>
      </c>
      <c r="J241" s="30">
        <v>0</v>
      </c>
      <c r="K241" s="33">
        <f t="shared" si="28"/>
        <v>15</v>
      </c>
    </row>
    <row r="242" spans="1:11" ht="17.25" customHeight="1" x14ac:dyDescent="0.25">
      <c r="A242" s="34" t="s">
        <v>257</v>
      </c>
      <c r="B242" s="132"/>
      <c r="C242" s="36">
        <v>500</v>
      </c>
      <c r="D242" s="31">
        <v>0</v>
      </c>
      <c r="E242" s="30">
        <f t="shared" si="29"/>
        <v>500</v>
      </c>
      <c r="F242" s="30">
        <v>700</v>
      </c>
      <c r="G242" s="30">
        <v>0</v>
      </c>
      <c r="H242" s="32">
        <f t="shared" si="31"/>
        <v>1200</v>
      </c>
      <c r="I242" s="30">
        <v>-200</v>
      </c>
      <c r="J242" s="30">
        <v>0</v>
      </c>
      <c r="K242" s="33">
        <f t="shared" si="28"/>
        <v>1000</v>
      </c>
    </row>
    <row r="243" spans="1:11" ht="42" customHeight="1" x14ac:dyDescent="0.25">
      <c r="A243" s="34" t="s">
        <v>258</v>
      </c>
      <c r="B243" s="132"/>
      <c r="C243" s="36">
        <v>0</v>
      </c>
      <c r="D243" s="122"/>
      <c r="E243" s="36"/>
      <c r="F243" s="36"/>
      <c r="G243" s="36"/>
      <c r="H243" s="123">
        <v>0</v>
      </c>
      <c r="I243" s="36">
        <v>0</v>
      </c>
      <c r="J243" s="36">
        <f>181</f>
        <v>181</v>
      </c>
      <c r="K243" s="143">
        <f>SUM(H243:J243)</f>
        <v>181</v>
      </c>
    </row>
    <row r="244" spans="1:11" ht="31.5" customHeight="1" x14ac:dyDescent="0.25">
      <c r="A244" s="34" t="s">
        <v>259</v>
      </c>
      <c r="B244" s="132"/>
      <c r="C244" s="36">
        <v>0</v>
      </c>
      <c r="D244" s="122"/>
      <c r="E244" s="36"/>
      <c r="F244" s="36"/>
      <c r="G244" s="36"/>
      <c r="H244" s="123">
        <v>0</v>
      </c>
      <c r="I244" s="36">
        <v>0</v>
      </c>
      <c r="J244" s="36">
        <f>233</f>
        <v>233</v>
      </c>
      <c r="K244" s="143">
        <f>SUM(H244:J244)</f>
        <v>233</v>
      </c>
    </row>
    <row r="245" spans="1:11" ht="31.5" customHeight="1" x14ac:dyDescent="0.25">
      <c r="A245" s="34" t="s">
        <v>260</v>
      </c>
      <c r="B245" s="132"/>
      <c r="C245" s="36">
        <v>0</v>
      </c>
      <c r="D245" s="122"/>
      <c r="E245" s="36"/>
      <c r="F245" s="36"/>
      <c r="G245" s="36"/>
      <c r="H245" s="123">
        <v>0</v>
      </c>
      <c r="I245" s="36">
        <v>0</v>
      </c>
      <c r="J245" s="36">
        <f>161</f>
        <v>161</v>
      </c>
      <c r="K245" s="143">
        <f>SUM(H245:J245)</f>
        <v>161</v>
      </c>
    </row>
    <row r="246" spans="1:11" ht="31.5" customHeight="1" x14ac:dyDescent="0.25">
      <c r="A246" s="34" t="s">
        <v>261</v>
      </c>
      <c r="B246" s="132"/>
      <c r="C246" s="36">
        <v>0</v>
      </c>
      <c r="D246" s="122"/>
      <c r="E246" s="36"/>
      <c r="F246" s="36"/>
      <c r="G246" s="36"/>
      <c r="H246" s="123">
        <v>0</v>
      </c>
      <c r="I246" s="36">
        <v>0</v>
      </c>
      <c r="J246" s="36">
        <f>65</f>
        <v>65</v>
      </c>
      <c r="K246" s="144">
        <f>SUM(H246:J246)</f>
        <v>65</v>
      </c>
    </row>
    <row r="247" spans="1:11" ht="30.75" customHeight="1" thickBot="1" x14ac:dyDescent="0.3">
      <c r="A247" s="37" t="s">
        <v>262</v>
      </c>
      <c r="B247" s="106"/>
      <c r="C247" s="39">
        <v>6059.28</v>
      </c>
      <c r="D247" s="128">
        <v>0</v>
      </c>
      <c r="E247" s="39">
        <f t="shared" si="29"/>
        <v>6059.28</v>
      </c>
      <c r="F247" s="39">
        <v>1023.68</v>
      </c>
      <c r="G247" s="39">
        <f>-27+119.3</f>
        <v>92.3</v>
      </c>
      <c r="H247" s="141">
        <f>SUM(E247:G247)+69.7</f>
        <v>7244.96</v>
      </c>
      <c r="I247" s="39">
        <v>0</v>
      </c>
      <c r="J247" s="39">
        <f>326.7+121+204.9-302.5</f>
        <v>350.1</v>
      </c>
      <c r="K247" s="145">
        <f t="shared" si="28"/>
        <v>7595.06</v>
      </c>
    </row>
    <row r="248" spans="1:11" ht="15.75" customHeight="1" thickBot="1" x14ac:dyDescent="0.3">
      <c r="A248" s="134" t="s">
        <v>263</v>
      </c>
      <c r="B248" s="125"/>
      <c r="C248" s="117">
        <f>SUM(C250:C252)</f>
        <v>51889</v>
      </c>
      <c r="D248" s="118">
        <f>SUM(D250:D252)</f>
        <v>0</v>
      </c>
      <c r="E248" s="117">
        <f>SUM(C248:D248)</f>
        <v>51889</v>
      </c>
      <c r="F248" s="117">
        <f>SUM(F250:F252)</f>
        <v>0</v>
      </c>
      <c r="G248" s="117">
        <f>SUM(G250:G252)</f>
        <v>0</v>
      </c>
      <c r="H248" s="119">
        <f>SUM(H250:H252)</f>
        <v>51889</v>
      </c>
      <c r="I248" s="117">
        <f>SUM(I250:I252)</f>
        <v>0</v>
      </c>
      <c r="J248" s="117">
        <f>SUM(J250:J252)</f>
        <v>0</v>
      </c>
      <c r="K248" s="98">
        <f t="shared" si="28"/>
        <v>51889</v>
      </c>
    </row>
    <row r="249" spans="1:11" ht="15.75" customHeight="1" x14ac:dyDescent="0.25">
      <c r="A249" s="135" t="s">
        <v>34</v>
      </c>
      <c r="B249" s="100"/>
      <c r="C249" s="30"/>
      <c r="D249" s="31"/>
      <c r="E249" s="30"/>
      <c r="F249" s="30"/>
      <c r="G249" s="30"/>
      <c r="H249" s="32"/>
      <c r="I249" s="30"/>
      <c r="J249" s="30"/>
      <c r="K249" s="33"/>
    </row>
    <row r="250" spans="1:11" ht="18.75" customHeight="1" x14ac:dyDescent="0.25">
      <c r="A250" s="136" t="s">
        <v>264</v>
      </c>
      <c r="B250" s="102"/>
      <c r="C250" s="36">
        <v>0</v>
      </c>
      <c r="D250" s="31">
        <v>0</v>
      </c>
      <c r="E250" s="66">
        <f>SUM(C250:D250)</f>
        <v>0</v>
      </c>
      <c r="F250" s="66">
        <v>0</v>
      </c>
      <c r="G250" s="66">
        <v>0</v>
      </c>
      <c r="H250" s="110">
        <f>SUM(E250:G250)</f>
        <v>0</v>
      </c>
      <c r="I250" s="66">
        <v>0</v>
      </c>
      <c r="J250" s="66">
        <v>0</v>
      </c>
      <c r="K250" s="33">
        <f t="shared" si="28"/>
        <v>0</v>
      </c>
    </row>
    <row r="251" spans="1:11" ht="18" customHeight="1" x14ac:dyDescent="0.25">
      <c r="A251" s="136" t="s">
        <v>67</v>
      </c>
      <c r="B251" s="102"/>
      <c r="C251" s="36">
        <v>250</v>
      </c>
      <c r="D251" s="31">
        <v>0</v>
      </c>
      <c r="E251" s="66">
        <f t="shared" ref="E251:E252" si="32">SUM(C251:D251)</f>
        <v>250</v>
      </c>
      <c r="F251" s="66">
        <v>0</v>
      </c>
      <c r="G251" s="66">
        <v>0</v>
      </c>
      <c r="H251" s="110">
        <f t="shared" ref="H251:H252" si="33">SUM(E251:G251)</f>
        <v>250</v>
      </c>
      <c r="I251" s="66">
        <v>0</v>
      </c>
      <c r="J251" s="66">
        <v>0</v>
      </c>
      <c r="K251" s="33">
        <f t="shared" si="28"/>
        <v>250</v>
      </c>
    </row>
    <row r="252" spans="1:11" ht="18" customHeight="1" thickBot="1" x14ac:dyDescent="0.3">
      <c r="A252" s="133" t="s">
        <v>265</v>
      </c>
      <c r="B252" s="106"/>
      <c r="C252" s="39">
        <v>51639</v>
      </c>
      <c r="D252" s="128">
        <v>0</v>
      </c>
      <c r="E252" s="129">
        <f t="shared" si="32"/>
        <v>51639</v>
      </c>
      <c r="F252" s="129">
        <v>0</v>
      </c>
      <c r="G252" s="129">
        <v>0</v>
      </c>
      <c r="H252" s="130">
        <f t="shared" si="33"/>
        <v>51639</v>
      </c>
      <c r="I252" s="129">
        <v>0</v>
      </c>
      <c r="J252" s="129">
        <v>0</v>
      </c>
      <c r="K252" s="145">
        <f t="shared" si="28"/>
        <v>51639</v>
      </c>
    </row>
    <row r="253" spans="1:11" ht="16.5" customHeight="1" thickBot="1" x14ac:dyDescent="0.3">
      <c r="A253" s="134" t="s">
        <v>266</v>
      </c>
      <c r="B253" s="125"/>
      <c r="C253" s="117">
        <f>SUM(C255:C257)</f>
        <v>15232</v>
      </c>
      <c r="D253" s="118">
        <f>SUM(D255:D257)</f>
        <v>595</v>
      </c>
      <c r="E253" s="117">
        <f>SUM(C253:D253)</f>
        <v>15827</v>
      </c>
      <c r="F253" s="117">
        <f>SUM(F255:F257)</f>
        <v>1028</v>
      </c>
      <c r="G253" s="117">
        <f>SUM(G255:G257)</f>
        <v>169.99</v>
      </c>
      <c r="H253" s="119">
        <f>SUM(H255:H257)</f>
        <v>17024.990000000002</v>
      </c>
      <c r="I253" s="117">
        <f>SUM(I255:I257)</f>
        <v>0</v>
      </c>
      <c r="J253" s="117">
        <f>SUM(J255:J257)</f>
        <v>1106.7</v>
      </c>
      <c r="K253" s="98">
        <f t="shared" si="28"/>
        <v>18131.690000000002</v>
      </c>
    </row>
    <row r="254" spans="1:11" ht="14.25" customHeight="1" x14ac:dyDescent="0.25">
      <c r="A254" s="135" t="s">
        <v>34</v>
      </c>
      <c r="B254" s="100"/>
      <c r="C254" s="30"/>
      <c r="D254" s="31"/>
      <c r="E254" s="30"/>
      <c r="F254" s="30"/>
      <c r="G254" s="30"/>
      <c r="H254" s="32"/>
      <c r="I254" s="30"/>
      <c r="J254" s="30"/>
      <c r="K254" s="33"/>
    </row>
    <row r="255" spans="1:11" ht="24.75" customHeight="1" x14ac:dyDescent="0.25">
      <c r="A255" s="34" t="s">
        <v>267</v>
      </c>
      <c r="B255" s="102"/>
      <c r="C255" s="36">
        <v>0</v>
      </c>
      <c r="D255" s="31">
        <v>0</v>
      </c>
      <c r="E255" s="30">
        <f>SUM(C255:D255)</f>
        <v>0</v>
      </c>
      <c r="F255" s="30">
        <v>0</v>
      </c>
      <c r="G255" s="30">
        <f>72.6</f>
        <v>72.599999999999994</v>
      </c>
      <c r="H255" s="32">
        <f>SUM(E255:G255)</f>
        <v>72.599999999999994</v>
      </c>
      <c r="I255" s="30">
        <v>0</v>
      </c>
      <c r="J255" s="30">
        <v>0</v>
      </c>
      <c r="K255" s="33">
        <f>SUM(H255:J255)</f>
        <v>72.599999999999994</v>
      </c>
    </row>
    <row r="256" spans="1:11" ht="13.5" customHeight="1" x14ac:dyDescent="0.25">
      <c r="A256" s="34" t="s">
        <v>67</v>
      </c>
      <c r="B256" s="102"/>
      <c r="C256" s="36">
        <v>200</v>
      </c>
      <c r="D256" s="31">
        <v>0</v>
      </c>
      <c r="E256" s="30">
        <f t="shared" ref="E256:E257" si="34">SUM(C256:D256)</f>
        <v>200</v>
      </c>
      <c r="F256" s="30">
        <v>0</v>
      </c>
      <c r="G256" s="30">
        <f>2.39</f>
        <v>2.39</v>
      </c>
      <c r="H256" s="32">
        <f t="shared" ref="H256:H257" si="35">SUM(E256:G256)</f>
        <v>202.39</v>
      </c>
      <c r="I256" s="30">
        <v>0</v>
      </c>
      <c r="J256" s="30">
        <v>0</v>
      </c>
      <c r="K256" s="33">
        <f t="shared" si="28"/>
        <v>202.39</v>
      </c>
    </row>
    <row r="257" spans="1:11" ht="17.25" customHeight="1" thickBot="1" x14ac:dyDescent="0.3">
      <c r="A257" s="37" t="s">
        <v>268</v>
      </c>
      <c r="B257" s="106"/>
      <c r="C257" s="39">
        <v>15032</v>
      </c>
      <c r="D257" s="128">
        <f>-205+800</f>
        <v>595</v>
      </c>
      <c r="E257" s="41">
        <f t="shared" si="34"/>
        <v>15627</v>
      </c>
      <c r="F257" s="41">
        <v>1028</v>
      </c>
      <c r="G257" s="41">
        <f>-54+149</f>
        <v>95</v>
      </c>
      <c r="H257" s="42">
        <f t="shared" si="35"/>
        <v>16750</v>
      </c>
      <c r="I257" s="41">
        <v>0</v>
      </c>
      <c r="J257" s="41">
        <f>-54.3+21+50+1090</f>
        <v>1106.7</v>
      </c>
      <c r="K257" s="43">
        <f t="shared" si="28"/>
        <v>17856.7</v>
      </c>
    </row>
    <row r="258" spans="1:11" ht="15.75" customHeight="1" thickBot="1" x14ac:dyDescent="0.3">
      <c r="A258" s="146" t="s">
        <v>269</v>
      </c>
      <c r="B258" s="125"/>
      <c r="C258" s="117">
        <f>SUM(C260:C266)</f>
        <v>6785</v>
      </c>
      <c r="D258" s="118">
        <f>SUM(D260:D266)</f>
        <v>0</v>
      </c>
      <c r="E258" s="117">
        <f>SUM(C258:D258)</f>
        <v>6785</v>
      </c>
      <c r="F258" s="117">
        <f>SUM(F260:F266)</f>
        <v>9000</v>
      </c>
      <c r="G258" s="117">
        <f>SUM(G260:G266)</f>
        <v>1205.45</v>
      </c>
      <c r="H258" s="119">
        <f>SUM(H260:H266)</f>
        <v>17040.45</v>
      </c>
      <c r="I258" s="117">
        <f>SUM(I260:I266)</f>
        <v>-530</v>
      </c>
      <c r="J258" s="117">
        <f>SUM(J260:J266)</f>
        <v>6809.9600000000009</v>
      </c>
      <c r="K258" s="98">
        <f t="shared" si="28"/>
        <v>23320.410000000003</v>
      </c>
    </row>
    <row r="259" spans="1:11" ht="16.5" customHeight="1" x14ac:dyDescent="0.25">
      <c r="A259" s="135" t="s">
        <v>34</v>
      </c>
      <c r="B259" s="100"/>
      <c r="C259" s="30"/>
      <c r="D259" s="31"/>
      <c r="E259" s="30"/>
      <c r="F259" s="30"/>
      <c r="G259" s="30"/>
      <c r="H259" s="32"/>
      <c r="I259" s="30"/>
      <c r="J259" s="30"/>
      <c r="K259" s="33"/>
    </row>
    <row r="260" spans="1:11" ht="27" customHeight="1" x14ac:dyDescent="0.25">
      <c r="A260" s="34" t="s">
        <v>270</v>
      </c>
      <c r="B260" s="102"/>
      <c r="C260" s="36">
        <v>0</v>
      </c>
      <c r="D260" s="31">
        <v>0</v>
      </c>
      <c r="E260" s="30">
        <f>SUM(C260:D260)</f>
        <v>0</v>
      </c>
      <c r="F260" s="30">
        <v>0</v>
      </c>
      <c r="G260" s="30">
        <f>1253.45</f>
        <v>1253.45</v>
      </c>
      <c r="H260" s="32">
        <f>SUM(E260:G260)+50</f>
        <v>1303.45</v>
      </c>
      <c r="I260" s="30">
        <v>0</v>
      </c>
      <c r="J260" s="30">
        <f>4093.05+1654.45+2528.1-1881.2</f>
        <v>6394.4000000000005</v>
      </c>
      <c r="K260" s="33">
        <f>SUM(H260:J260)</f>
        <v>7697.85</v>
      </c>
    </row>
    <row r="261" spans="1:11" ht="15" customHeight="1" x14ac:dyDescent="0.25">
      <c r="A261" s="136" t="s">
        <v>67</v>
      </c>
      <c r="B261" s="102"/>
      <c r="C261" s="36">
        <v>370</v>
      </c>
      <c r="D261" s="31">
        <v>0</v>
      </c>
      <c r="E261" s="30">
        <f t="shared" ref="E261:E266" si="36">SUM(C261:D261)</f>
        <v>370</v>
      </c>
      <c r="F261" s="30">
        <v>0</v>
      </c>
      <c r="G261" s="30">
        <v>0</v>
      </c>
      <c r="H261" s="32">
        <f>SUM(E261:G261)+20</f>
        <v>390</v>
      </c>
      <c r="I261" s="30">
        <v>0</v>
      </c>
      <c r="J261" s="30">
        <v>0</v>
      </c>
      <c r="K261" s="33">
        <f t="shared" si="28"/>
        <v>390</v>
      </c>
    </row>
    <row r="262" spans="1:11" ht="15.75" customHeight="1" x14ac:dyDescent="0.25">
      <c r="A262" s="135" t="s">
        <v>271</v>
      </c>
      <c r="B262" s="137" t="s">
        <v>272</v>
      </c>
      <c r="C262" s="36">
        <v>1200</v>
      </c>
      <c r="D262" s="31">
        <v>0</v>
      </c>
      <c r="E262" s="30">
        <f t="shared" si="36"/>
        <v>1200</v>
      </c>
      <c r="F262" s="30">
        <v>-165</v>
      </c>
      <c r="G262" s="30">
        <v>0</v>
      </c>
      <c r="H262" s="32">
        <f t="shared" ref="H262:H264" si="37">SUM(E262:G262)</f>
        <v>1035</v>
      </c>
      <c r="I262" s="30">
        <v>0</v>
      </c>
      <c r="J262" s="30">
        <v>0</v>
      </c>
      <c r="K262" s="33">
        <f t="shared" si="28"/>
        <v>1035</v>
      </c>
    </row>
    <row r="263" spans="1:11" ht="15.75" customHeight="1" x14ac:dyDescent="0.25">
      <c r="A263" s="136" t="s">
        <v>273</v>
      </c>
      <c r="B263" s="132" t="s">
        <v>274</v>
      </c>
      <c r="C263" s="36">
        <v>0</v>
      </c>
      <c r="D263" s="122"/>
      <c r="E263" s="36"/>
      <c r="F263" s="36"/>
      <c r="G263" s="36"/>
      <c r="H263" s="123">
        <v>0</v>
      </c>
      <c r="I263" s="36">
        <v>0</v>
      </c>
      <c r="J263" s="36">
        <f>42</f>
        <v>42</v>
      </c>
      <c r="K263" s="143">
        <f>SUM(H263:J263)</f>
        <v>42</v>
      </c>
    </row>
    <row r="264" spans="1:11" ht="33" customHeight="1" x14ac:dyDescent="0.25">
      <c r="A264" s="50" t="s">
        <v>275</v>
      </c>
      <c r="B264" s="147" t="s">
        <v>276</v>
      </c>
      <c r="C264" s="36">
        <v>0</v>
      </c>
      <c r="D264" s="122"/>
      <c r="E264" s="36">
        <v>0</v>
      </c>
      <c r="F264" s="36">
        <v>0</v>
      </c>
      <c r="G264" s="36">
        <f>50</f>
        <v>50</v>
      </c>
      <c r="H264" s="123">
        <f t="shared" si="37"/>
        <v>50</v>
      </c>
      <c r="I264" s="36">
        <v>0</v>
      </c>
      <c r="J264" s="36">
        <v>0</v>
      </c>
      <c r="K264" s="33">
        <f t="shared" si="28"/>
        <v>50</v>
      </c>
    </row>
    <row r="265" spans="1:11" ht="28.5" customHeight="1" x14ac:dyDescent="0.25">
      <c r="A265" s="34" t="s">
        <v>277</v>
      </c>
      <c r="B265" s="132" t="s">
        <v>74</v>
      </c>
      <c r="C265" s="30">
        <v>0</v>
      </c>
      <c r="D265" s="31"/>
      <c r="E265" s="30"/>
      <c r="F265" s="30"/>
      <c r="G265" s="30"/>
      <c r="H265" s="32">
        <v>0</v>
      </c>
      <c r="I265" s="30">
        <v>165</v>
      </c>
      <c r="J265" s="30">
        <v>0</v>
      </c>
      <c r="K265" s="33">
        <f t="shared" si="28"/>
        <v>165</v>
      </c>
    </row>
    <row r="266" spans="1:11" ht="27" customHeight="1" thickBot="1" x14ac:dyDescent="0.3">
      <c r="A266" s="50" t="s">
        <v>278</v>
      </c>
      <c r="B266" s="113"/>
      <c r="C266" s="39">
        <v>5215</v>
      </c>
      <c r="D266" s="40">
        <v>0</v>
      </c>
      <c r="E266" s="41">
        <f t="shared" si="36"/>
        <v>5215</v>
      </c>
      <c r="F266" s="41">
        <f>165+0+9000</f>
        <v>9165</v>
      </c>
      <c r="G266" s="41">
        <f>-48-50</f>
        <v>-98</v>
      </c>
      <c r="H266" s="42">
        <f>SUM(E266:G266)-20</f>
        <v>14262</v>
      </c>
      <c r="I266" s="41">
        <v>-695</v>
      </c>
      <c r="J266" s="41">
        <f>-42+415.56</f>
        <v>373.56</v>
      </c>
      <c r="K266" s="43">
        <f t="shared" si="28"/>
        <v>13940.56</v>
      </c>
    </row>
    <row r="267" spans="1:11" ht="15.75" customHeight="1" thickBot="1" x14ac:dyDescent="0.3">
      <c r="A267" s="148" t="s">
        <v>279</v>
      </c>
      <c r="B267" s="149"/>
      <c r="C267" s="150">
        <f>SUM(C23+C50+C56+C65+C71+C76+C150+C162+C172+C176+C221+C225+C248+C253+C258)</f>
        <v>1257896.73</v>
      </c>
      <c r="D267" s="151">
        <f>SUM(D23+D50+D56+D65+D71+D76+D150+D162+D172+D176+D221+D225+D248+D253+D258)</f>
        <v>-8482.02</v>
      </c>
      <c r="E267" s="150">
        <f>SUM(C267:D267)</f>
        <v>1249414.71</v>
      </c>
      <c r="F267" s="150">
        <f>F23+F50+F56+F65+F71+F76+F150+F162+F172+F176+F221+F225+F248+F253+F258</f>
        <v>59527.560000000005</v>
      </c>
      <c r="G267" s="150">
        <f>SUM(G23+G50+G56+G65+G71+G76+G150+G162+G172+G176+G221+G225+G248+G253+G258)</f>
        <v>62569.599999999999</v>
      </c>
      <c r="H267" s="152">
        <f>H23+H50+H56+H65+H71+H76+H150+H162+H172+H176+H221+H225+H248+H253+H258</f>
        <v>1377203.1099999999</v>
      </c>
      <c r="I267" s="150">
        <f>I23+I50+I56+I65+I71+I76+I150+I162+I172+I176+I221+I225+I248+I253+I258</f>
        <v>20275.18</v>
      </c>
      <c r="J267" s="150">
        <f>SUM(J23+J50+J56+J65+J71+J76+J150+J162+J172+J176+J221+J225+J248+J253+J258)</f>
        <v>-12613.69</v>
      </c>
      <c r="K267" s="153">
        <f t="shared" si="28"/>
        <v>1384864.5999999999</v>
      </c>
    </row>
    <row r="268" spans="1:11" ht="12" customHeight="1" x14ac:dyDescent="0.25">
      <c r="A268" s="202"/>
      <c r="B268" s="203"/>
      <c r="C268" s="167"/>
      <c r="D268" s="168"/>
      <c r="E268" s="167"/>
      <c r="F268" s="167"/>
      <c r="G268" s="167"/>
      <c r="H268" s="167"/>
      <c r="I268" s="167"/>
      <c r="J268" s="167"/>
      <c r="K268" s="170"/>
    </row>
    <row r="269" spans="1:11" ht="16.5" customHeight="1" thickBot="1" x14ac:dyDescent="0.3">
      <c r="A269" s="196" t="s">
        <v>280</v>
      </c>
      <c r="B269" s="197"/>
      <c r="C269" s="198"/>
      <c r="D269" s="199"/>
      <c r="E269" s="198"/>
      <c r="F269" s="198"/>
      <c r="G269" s="198"/>
      <c r="H269" s="200"/>
      <c r="I269" s="198"/>
      <c r="J269" s="198"/>
      <c r="K269" s="201"/>
    </row>
    <row r="270" spans="1:11" ht="18" customHeight="1" thickBot="1" x14ac:dyDescent="0.3">
      <c r="A270" s="134" t="s">
        <v>33</v>
      </c>
      <c r="B270" s="125"/>
      <c r="C270" s="117">
        <f t="shared" ref="C270" si="38">SUM(C273)</f>
        <v>0</v>
      </c>
      <c r="D270" s="118">
        <f>SUM(D273)</f>
        <v>0</v>
      </c>
      <c r="E270" s="154">
        <f>SUM(C270:D270)</f>
        <v>0</v>
      </c>
      <c r="F270" s="154">
        <f>SUM(F273)</f>
        <v>0</v>
      </c>
      <c r="G270" s="154">
        <f>SUM(G272:G273)</f>
        <v>0</v>
      </c>
      <c r="H270" s="155">
        <f>SUM(H272:H273)</f>
        <v>40</v>
      </c>
      <c r="I270" s="154">
        <f>SUM(I272:I273)</f>
        <v>0</v>
      </c>
      <c r="J270" s="154">
        <f>SUM(J272:J273)</f>
        <v>0</v>
      </c>
      <c r="K270" s="98">
        <f t="shared" si="28"/>
        <v>40</v>
      </c>
    </row>
    <row r="271" spans="1:11" ht="16.5" customHeight="1" x14ac:dyDescent="0.25">
      <c r="A271" s="135" t="s">
        <v>34</v>
      </c>
      <c r="B271" s="100"/>
      <c r="C271" s="30"/>
      <c r="D271" s="31"/>
      <c r="E271" s="30"/>
      <c r="F271" s="30"/>
      <c r="G271" s="30"/>
      <c r="H271" s="32"/>
      <c r="I271" s="30"/>
      <c r="J271" s="30"/>
      <c r="K271" s="33"/>
    </row>
    <row r="272" spans="1:11" ht="28.5" customHeight="1" x14ac:dyDescent="0.25">
      <c r="A272" s="34" t="s">
        <v>281</v>
      </c>
      <c r="B272" s="102" t="s">
        <v>53</v>
      </c>
      <c r="C272" s="36">
        <v>0</v>
      </c>
      <c r="D272" s="40"/>
      <c r="E272" s="41">
        <f>40</f>
        <v>40</v>
      </c>
      <c r="F272" s="41">
        <v>0</v>
      </c>
      <c r="G272" s="41">
        <v>0</v>
      </c>
      <c r="H272" s="123">
        <f>SUM(E272:G272)</f>
        <v>40</v>
      </c>
      <c r="I272" s="36">
        <v>0</v>
      </c>
      <c r="J272" s="36">
        <v>0</v>
      </c>
      <c r="K272" s="33">
        <f t="shared" si="28"/>
        <v>40</v>
      </c>
    </row>
    <row r="273" spans="1:11" ht="18.75" customHeight="1" thickBot="1" x14ac:dyDescent="0.3">
      <c r="A273" s="133" t="s">
        <v>282</v>
      </c>
      <c r="B273" s="106"/>
      <c r="C273" s="39">
        <v>0</v>
      </c>
      <c r="D273" s="128">
        <v>0</v>
      </c>
      <c r="E273" s="129">
        <f>SUM(C273:D273)</f>
        <v>0</v>
      </c>
      <c r="F273" s="129">
        <v>0</v>
      </c>
      <c r="G273" s="129">
        <v>0</v>
      </c>
      <c r="H273" s="141">
        <f>SUM(E273:G273)</f>
        <v>0</v>
      </c>
      <c r="I273" s="39">
        <v>0</v>
      </c>
      <c r="J273" s="39">
        <v>0</v>
      </c>
      <c r="K273" s="43">
        <f t="shared" si="28"/>
        <v>0</v>
      </c>
    </row>
    <row r="274" spans="1:11" ht="14.25" customHeight="1" thickBot="1" x14ac:dyDescent="0.3">
      <c r="A274" s="134" t="s">
        <v>283</v>
      </c>
      <c r="B274" s="125"/>
      <c r="C274" s="117">
        <f t="shared" ref="C274" si="39">SUM(C276:C279)</f>
        <v>400</v>
      </c>
      <c r="D274" s="118">
        <f>SUM(D276:D279)</f>
        <v>0</v>
      </c>
      <c r="E274" s="117">
        <f>SUM(C274:D274)</f>
        <v>400</v>
      </c>
      <c r="F274" s="117">
        <f>SUM(F276:F279)</f>
        <v>0</v>
      </c>
      <c r="G274" s="117">
        <f>SUM(G276:G279)</f>
        <v>0</v>
      </c>
      <c r="H274" s="119">
        <f>SUM(H276:H279)</f>
        <v>400</v>
      </c>
      <c r="I274" s="117">
        <f>SUM(I276:I279)</f>
        <v>0</v>
      </c>
      <c r="J274" s="117">
        <f>SUM(J276:J279)</f>
        <v>115</v>
      </c>
      <c r="K274" s="98">
        <f t="shared" si="28"/>
        <v>515</v>
      </c>
    </row>
    <row r="275" spans="1:11" ht="14.25" customHeight="1" x14ac:dyDescent="0.25">
      <c r="A275" s="135" t="s">
        <v>34</v>
      </c>
      <c r="B275" s="100"/>
      <c r="C275" s="30"/>
      <c r="D275" s="31"/>
      <c r="E275" s="30"/>
      <c r="F275" s="30"/>
      <c r="G275" s="30"/>
      <c r="H275" s="32"/>
      <c r="I275" s="30"/>
      <c r="J275" s="30"/>
      <c r="K275" s="33"/>
    </row>
    <row r="276" spans="1:11" ht="18.75" customHeight="1" x14ac:dyDescent="0.25">
      <c r="A276" s="136" t="s">
        <v>284</v>
      </c>
      <c r="B276" s="102"/>
      <c r="C276" s="36">
        <v>0</v>
      </c>
      <c r="D276" s="31">
        <v>0</v>
      </c>
      <c r="E276" s="66">
        <f>SUM(C276:D276)</f>
        <v>0</v>
      </c>
      <c r="F276" s="66">
        <v>0</v>
      </c>
      <c r="G276" s="66">
        <v>0</v>
      </c>
      <c r="H276" s="110">
        <f>SUM(E276:G276)</f>
        <v>0</v>
      </c>
      <c r="I276" s="66">
        <v>0</v>
      </c>
      <c r="J276" s="66">
        <v>0</v>
      </c>
      <c r="K276" s="33">
        <f t="shared" si="28"/>
        <v>0</v>
      </c>
    </row>
    <row r="277" spans="1:11" ht="19.5" customHeight="1" x14ac:dyDescent="0.25">
      <c r="A277" s="136" t="s">
        <v>285</v>
      </c>
      <c r="B277" s="102"/>
      <c r="C277" s="36">
        <v>0</v>
      </c>
      <c r="D277" s="31">
        <v>0</v>
      </c>
      <c r="E277" s="66">
        <f t="shared" ref="E277:E279" si="40">SUM(C277:D277)</f>
        <v>0</v>
      </c>
      <c r="F277" s="66">
        <v>0</v>
      </c>
      <c r="G277" s="66">
        <v>0</v>
      </c>
      <c r="H277" s="110">
        <f t="shared" ref="H277:H279" si="41">SUM(E277:G277)</f>
        <v>0</v>
      </c>
      <c r="I277" s="66">
        <v>0</v>
      </c>
      <c r="J277" s="66">
        <v>0</v>
      </c>
      <c r="K277" s="33">
        <f t="shared" si="28"/>
        <v>0</v>
      </c>
    </row>
    <row r="278" spans="1:11" ht="15.75" customHeight="1" x14ac:dyDescent="0.25">
      <c r="A278" s="136" t="s">
        <v>286</v>
      </c>
      <c r="B278" s="102"/>
      <c r="C278" s="36">
        <v>400</v>
      </c>
      <c r="D278" s="31">
        <v>0</v>
      </c>
      <c r="E278" s="66">
        <f t="shared" si="40"/>
        <v>400</v>
      </c>
      <c r="F278" s="66">
        <v>0</v>
      </c>
      <c r="G278" s="66">
        <v>0</v>
      </c>
      <c r="H278" s="110">
        <f t="shared" si="41"/>
        <v>400</v>
      </c>
      <c r="I278" s="66">
        <v>0</v>
      </c>
      <c r="J278" s="66">
        <f>115</f>
        <v>115</v>
      </c>
      <c r="K278" s="33">
        <f t="shared" si="28"/>
        <v>515</v>
      </c>
    </row>
    <row r="279" spans="1:11" ht="19.5" customHeight="1" thickBot="1" x14ac:dyDescent="0.3">
      <c r="A279" s="133" t="s">
        <v>287</v>
      </c>
      <c r="B279" s="106"/>
      <c r="C279" s="39">
        <v>0</v>
      </c>
      <c r="D279" s="128">
        <v>0</v>
      </c>
      <c r="E279" s="129">
        <f t="shared" si="40"/>
        <v>0</v>
      </c>
      <c r="F279" s="129">
        <v>0</v>
      </c>
      <c r="G279" s="129">
        <v>0</v>
      </c>
      <c r="H279" s="130">
        <f t="shared" si="41"/>
        <v>0</v>
      </c>
      <c r="I279" s="129">
        <v>0</v>
      </c>
      <c r="J279" s="129">
        <v>0</v>
      </c>
      <c r="K279" s="43">
        <f t="shared" si="28"/>
        <v>0</v>
      </c>
    </row>
    <row r="280" spans="1:11" ht="16.5" customHeight="1" thickBot="1" x14ac:dyDescent="0.3">
      <c r="A280" s="134" t="s">
        <v>70</v>
      </c>
      <c r="B280" s="125"/>
      <c r="C280" s="117">
        <f>SUM(C282:C289)</f>
        <v>10000</v>
      </c>
      <c r="D280" s="118">
        <f>SUM(D282:D289)</f>
        <v>0</v>
      </c>
      <c r="E280" s="117">
        <f>SUM(C280:D280)</f>
        <v>10000</v>
      </c>
      <c r="F280" s="117">
        <f>SUM(F282:F289)</f>
        <v>27227.57</v>
      </c>
      <c r="G280" s="117">
        <f>SUM(G282:G289)</f>
        <v>3200</v>
      </c>
      <c r="H280" s="119">
        <f>SUM(H282:H289)</f>
        <v>40335.870000000003</v>
      </c>
      <c r="I280" s="117">
        <f>SUM(I282:I289)</f>
        <v>43144.37</v>
      </c>
      <c r="J280" s="117">
        <f>SUM(J282:J289)</f>
        <v>-10707</v>
      </c>
      <c r="K280" s="98">
        <f t="shared" si="28"/>
        <v>72773.240000000005</v>
      </c>
    </row>
    <row r="281" spans="1:11" ht="15.75" customHeight="1" x14ac:dyDescent="0.25">
      <c r="A281" s="135" t="s">
        <v>34</v>
      </c>
      <c r="B281" s="100"/>
      <c r="C281" s="30"/>
      <c r="D281" s="31"/>
      <c r="E281" s="30"/>
      <c r="F281" s="30"/>
      <c r="G281" s="30"/>
      <c r="H281" s="32"/>
      <c r="I281" s="30"/>
      <c r="J281" s="30"/>
      <c r="K281" s="33"/>
    </row>
    <row r="282" spans="1:11" ht="18" customHeight="1" x14ac:dyDescent="0.25">
      <c r="A282" s="136" t="s">
        <v>288</v>
      </c>
      <c r="B282" s="102"/>
      <c r="C282" s="36">
        <v>1600</v>
      </c>
      <c r="D282" s="31">
        <v>0</v>
      </c>
      <c r="E282" s="30">
        <f>SUM(C282:D282)</f>
        <v>1600</v>
      </c>
      <c r="F282" s="30">
        <v>3721.84</v>
      </c>
      <c r="G282" s="30">
        <f>3500</f>
        <v>3500</v>
      </c>
      <c r="H282" s="32">
        <f>SUM(E282:G282)-69.7</f>
        <v>8752.14</v>
      </c>
      <c r="I282" s="30">
        <v>0</v>
      </c>
      <c r="J282" s="30">
        <f>-500</f>
        <v>-500</v>
      </c>
      <c r="K282" s="33">
        <f t="shared" ref="K282:K344" si="42">SUM(H282:J282)</f>
        <v>8252.14</v>
      </c>
    </row>
    <row r="283" spans="1:11" ht="17.25" customHeight="1" x14ac:dyDescent="0.25">
      <c r="A283" s="136" t="s">
        <v>289</v>
      </c>
      <c r="B283" s="102"/>
      <c r="C283" s="36">
        <v>3100</v>
      </c>
      <c r="D283" s="31">
        <v>0</v>
      </c>
      <c r="E283" s="30">
        <f t="shared" ref="E283:E289" si="43">SUM(C283:D283)</f>
        <v>3100</v>
      </c>
      <c r="F283" s="30">
        <v>1521.55</v>
      </c>
      <c r="G283" s="30">
        <v>0</v>
      </c>
      <c r="H283" s="32">
        <f>SUM(E283:G283)</f>
        <v>4621.55</v>
      </c>
      <c r="I283" s="30">
        <v>0</v>
      </c>
      <c r="J283" s="30">
        <f>-394-917</f>
        <v>-1311</v>
      </c>
      <c r="K283" s="33">
        <f t="shared" si="42"/>
        <v>3310.55</v>
      </c>
    </row>
    <row r="284" spans="1:11" ht="18" customHeight="1" x14ac:dyDescent="0.25">
      <c r="A284" s="28" t="s">
        <v>290</v>
      </c>
      <c r="B284" s="100"/>
      <c r="C284" s="36">
        <v>1300</v>
      </c>
      <c r="D284" s="31">
        <v>0</v>
      </c>
      <c r="E284" s="30">
        <f t="shared" si="43"/>
        <v>1300</v>
      </c>
      <c r="F284" s="30">
        <v>2763.95</v>
      </c>
      <c r="G284" s="30">
        <f>-300</f>
        <v>-300</v>
      </c>
      <c r="H284" s="32">
        <f t="shared" ref="H284:H289" si="44">SUM(E284:G284)</f>
        <v>3763.95</v>
      </c>
      <c r="I284" s="30">
        <v>0</v>
      </c>
      <c r="J284" s="30">
        <f>-193</f>
        <v>-193</v>
      </c>
      <c r="K284" s="33">
        <f t="shared" si="42"/>
        <v>3570.95</v>
      </c>
    </row>
    <row r="285" spans="1:11" ht="17.25" customHeight="1" x14ac:dyDescent="0.25">
      <c r="A285" s="136" t="s">
        <v>291</v>
      </c>
      <c r="B285" s="102"/>
      <c r="C285" s="36">
        <v>2900</v>
      </c>
      <c r="D285" s="31">
        <v>0</v>
      </c>
      <c r="E285" s="30">
        <f t="shared" si="43"/>
        <v>2900</v>
      </c>
      <c r="F285" s="30">
        <v>1907.33</v>
      </c>
      <c r="G285" s="30">
        <v>0</v>
      </c>
      <c r="H285" s="32">
        <f>SUM(E285:G285)-22</f>
        <v>4785.33</v>
      </c>
      <c r="I285" s="30">
        <v>0</v>
      </c>
      <c r="J285" s="30">
        <f>-130</f>
        <v>-130</v>
      </c>
      <c r="K285" s="33">
        <f t="shared" si="42"/>
        <v>4655.33</v>
      </c>
    </row>
    <row r="286" spans="1:11" ht="16.5" customHeight="1" x14ac:dyDescent="0.25">
      <c r="A286" s="34" t="s">
        <v>292</v>
      </c>
      <c r="B286" s="102"/>
      <c r="C286" s="36">
        <v>1100</v>
      </c>
      <c r="D286" s="31">
        <v>0</v>
      </c>
      <c r="E286" s="30">
        <f t="shared" si="43"/>
        <v>1100</v>
      </c>
      <c r="F286" s="30">
        <v>4843.6000000000004</v>
      </c>
      <c r="G286" s="30">
        <v>0</v>
      </c>
      <c r="H286" s="32">
        <f t="shared" si="44"/>
        <v>5943.6</v>
      </c>
      <c r="I286" s="30">
        <v>0</v>
      </c>
      <c r="J286" s="30">
        <f>-901-3872</f>
        <v>-4773</v>
      </c>
      <c r="K286" s="33">
        <f t="shared" si="42"/>
        <v>1170.6000000000004</v>
      </c>
    </row>
    <row r="287" spans="1:11" ht="28.5" customHeight="1" x14ac:dyDescent="0.25">
      <c r="A287" s="37" t="s">
        <v>293</v>
      </c>
      <c r="B287" s="106"/>
      <c r="C287" s="36">
        <v>0</v>
      </c>
      <c r="D287" s="31"/>
      <c r="E287" s="30">
        <v>0</v>
      </c>
      <c r="F287" s="30">
        <v>1870.4</v>
      </c>
      <c r="G287" s="30">
        <v>0</v>
      </c>
      <c r="H287" s="32">
        <f t="shared" si="44"/>
        <v>1870.4</v>
      </c>
      <c r="I287" s="30">
        <v>4771.6499999999996</v>
      </c>
      <c r="J287" s="30">
        <f>-3800</f>
        <v>-3800</v>
      </c>
      <c r="K287" s="33">
        <f t="shared" si="42"/>
        <v>2842.0499999999993</v>
      </c>
    </row>
    <row r="288" spans="1:11" ht="26.25" customHeight="1" x14ac:dyDescent="0.25">
      <c r="A288" s="34" t="s">
        <v>294</v>
      </c>
      <c r="B288" s="102"/>
      <c r="C288" s="36">
        <v>0</v>
      </c>
      <c r="D288" s="31"/>
      <c r="E288" s="30">
        <v>0</v>
      </c>
      <c r="F288" s="30">
        <v>10598.9</v>
      </c>
      <c r="G288" s="30">
        <v>0</v>
      </c>
      <c r="H288" s="32">
        <f t="shared" si="44"/>
        <v>10598.9</v>
      </c>
      <c r="I288" s="30">
        <v>38372.720000000001</v>
      </c>
      <c r="J288" s="30">
        <v>0</v>
      </c>
      <c r="K288" s="33">
        <f t="shared" si="42"/>
        <v>48971.62</v>
      </c>
    </row>
    <row r="289" spans="1:11" ht="16.5" customHeight="1" thickBot="1" x14ac:dyDescent="0.3">
      <c r="A289" s="133" t="s">
        <v>295</v>
      </c>
      <c r="B289" s="106"/>
      <c r="C289" s="39">
        <v>0</v>
      </c>
      <c r="D289" s="40">
        <v>0</v>
      </c>
      <c r="E289" s="41">
        <f t="shared" si="43"/>
        <v>0</v>
      </c>
      <c r="F289" s="41">
        <v>0</v>
      </c>
      <c r="G289" s="41">
        <v>0</v>
      </c>
      <c r="H289" s="42">
        <f t="shared" si="44"/>
        <v>0</v>
      </c>
      <c r="I289" s="41">
        <v>0</v>
      </c>
      <c r="J289" s="41">
        <v>0</v>
      </c>
      <c r="K289" s="43">
        <f t="shared" si="42"/>
        <v>0</v>
      </c>
    </row>
    <row r="290" spans="1:11" ht="16.5" customHeight="1" thickBot="1" x14ac:dyDescent="0.3">
      <c r="A290" s="134" t="s">
        <v>80</v>
      </c>
      <c r="B290" s="125"/>
      <c r="C290" s="117">
        <f>SUM(C292:C294)</f>
        <v>4735</v>
      </c>
      <c r="D290" s="118">
        <f>SUM(D292:D294)</f>
        <v>7517</v>
      </c>
      <c r="E290" s="117">
        <f>SUM(C290:D290)</f>
        <v>12252</v>
      </c>
      <c r="F290" s="117">
        <f>SUM(F292:F294)</f>
        <v>7122.62</v>
      </c>
      <c r="G290" s="117">
        <f>SUM(G292:G294)</f>
        <v>4246</v>
      </c>
      <c r="H290" s="119">
        <f>SUM(H292:H294)</f>
        <v>23746.62</v>
      </c>
      <c r="I290" s="117">
        <f>SUM(I292:I294)</f>
        <v>4065</v>
      </c>
      <c r="J290" s="117">
        <f>SUM(J292:J294)</f>
        <v>1972.6</v>
      </c>
      <c r="K290" s="98">
        <f t="shared" si="42"/>
        <v>29784.219999999998</v>
      </c>
    </row>
    <row r="291" spans="1:11" ht="18" customHeight="1" x14ac:dyDescent="0.25">
      <c r="A291" s="135" t="s">
        <v>34</v>
      </c>
      <c r="B291" s="100"/>
      <c r="C291" s="30"/>
      <c r="D291" s="31"/>
      <c r="E291" s="30"/>
      <c r="F291" s="30"/>
      <c r="G291" s="30"/>
      <c r="H291" s="32"/>
      <c r="I291" s="30"/>
      <c r="J291" s="30"/>
      <c r="K291" s="33"/>
    </row>
    <row r="292" spans="1:11" ht="29.25" customHeight="1" x14ac:dyDescent="0.25">
      <c r="A292" s="34" t="s">
        <v>296</v>
      </c>
      <c r="B292" s="102"/>
      <c r="C292" s="36">
        <v>0</v>
      </c>
      <c r="D292" s="31">
        <v>0</v>
      </c>
      <c r="E292" s="66">
        <f>SUM(C292:D292)</f>
        <v>0</v>
      </c>
      <c r="F292" s="66">
        <v>0</v>
      </c>
      <c r="G292" s="66">
        <v>0</v>
      </c>
      <c r="H292" s="110">
        <f>SUM(E292:G292)</f>
        <v>0</v>
      </c>
      <c r="I292" s="66">
        <v>0</v>
      </c>
      <c r="J292" s="66">
        <v>0</v>
      </c>
      <c r="K292" s="33">
        <f t="shared" si="42"/>
        <v>0</v>
      </c>
    </row>
    <row r="293" spans="1:11" ht="17.25" customHeight="1" x14ac:dyDescent="0.25">
      <c r="A293" s="136" t="s">
        <v>285</v>
      </c>
      <c r="B293" s="102"/>
      <c r="C293" s="36">
        <v>3678</v>
      </c>
      <c r="D293" s="31">
        <f>6934+90+483</f>
        <v>7507</v>
      </c>
      <c r="E293" s="66">
        <f t="shared" ref="E293:E294" si="45">SUM(C293:D293)</f>
        <v>11185</v>
      </c>
      <c r="F293" s="66">
        <v>2418</v>
      </c>
      <c r="G293" s="66">
        <f>200+4046</f>
        <v>4246</v>
      </c>
      <c r="H293" s="110">
        <f>SUM(E293:G293)+126</f>
        <v>17975</v>
      </c>
      <c r="I293" s="66">
        <v>0</v>
      </c>
      <c r="J293" s="66">
        <f>-307-277.4+1655+902</f>
        <v>1972.6</v>
      </c>
      <c r="K293" s="33">
        <f t="shared" si="42"/>
        <v>19947.599999999999</v>
      </c>
    </row>
    <row r="294" spans="1:11" ht="20.25" customHeight="1" thickBot="1" x14ac:dyDescent="0.3">
      <c r="A294" s="37" t="s">
        <v>297</v>
      </c>
      <c r="B294" s="106"/>
      <c r="C294" s="39">
        <v>1057</v>
      </c>
      <c r="D294" s="128">
        <f>10</f>
        <v>10</v>
      </c>
      <c r="E294" s="129">
        <f t="shared" si="45"/>
        <v>1067</v>
      </c>
      <c r="F294" s="129">
        <v>4704.62</v>
      </c>
      <c r="G294" s="129">
        <v>0</v>
      </c>
      <c r="H294" s="130">
        <f t="shared" ref="H294" si="46">SUM(E294:G294)</f>
        <v>5771.62</v>
      </c>
      <c r="I294" s="129">
        <v>4065</v>
      </c>
      <c r="J294" s="129">
        <v>0</v>
      </c>
      <c r="K294" s="145">
        <f t="shared" si="42"/>
        <v>9836.619999999999</v>
      </c>
    </row>
    <row r="295" spans="1:11" ht="15" customHeight="1" thickBot="1" x14ac:dyDescent="0.3">
      <c r="A295" s="134" t="s">
        <v>84</v>
      </c>
      <c r="B295" s="125"/>
      <c r="C295" s="156">
        <f>SUM(C297:C298)</f>
        <v>0</v>
      </c>
      <c r="D295" s="157">
        <f>SUM(D297:D298)</f>
        <v>0</v>
      </c>
      <c r="E295" s="158">
        <f>SUM(C295:D295)</f>
        <v>0</v>
      </c>
      <c r="F295" s="158">
        <f>SUM(F297:F298)</f>
        <v>0</v>
      </c>
      <c r="G295" s="158">
        <f>SUM(G297:G298)</f>
        <v>0</v>
      </c>
      <c r="H295" s="159">
        <f>SUM(H297:H298)</f>
        <v>0</v>
      </c>
      <c r="I295" s="158">
        <f>SUM(I297:I298)</f>
        <v>0</v>
      </c>
      <c r="J295" s="158">
        <f>SUM(J297:J298)</f>
        <v>0</v>
      </c>
      <c r="K295" s="98">
        <f t="shared" si="42"/>
        <v>0</v>
      </c>
    </row>
    <row r="296" spans="1:11" ht="14.25" customHeight="1" x14ac:dyDescent="0.25">
      <c r="A296" s="135" t="s">
        <v>34</v>
      </c>
      <c r="B296" s="100"/>
      <c r="C296" s="30"/>
      <c r="D296" s="31"/>
      <c r="E296" s="30"/>
      <c r="F296" s="30"/>
      <c r="G296" s="30"/>
      <c r="H296" s="32"/>
      <c r="I296" s="30"/>
      <c r="J296" s="30"/>
      <c r="K296" s="33"/>
    </row>
    <row r="297" spans="1:11" ht="18" customHeight="1" x14ac:dyDescent="0.25">
      <c r="A297" s="136" t="s">
        <v>285</v>
      </c>
      <c r="B297" s="102"/>
      <c r="C297" s="36">
        <v>0</v>
      </c>
      <c r="D297" s="31">
        <v>0</v>
      </c>
      <c r="E297" s="66">
        <f>SUM(C297:D297)</f>
        <v>0</v>
      </c>
      <c r="F297" s="66">
        <v>0</v>
      </c>
      <c r="G297" s="66">
        <v>0</v>
      </c>
      <c r="H297" s="110">
        <f>SUM(E297:G297)</f>
        <v>0</v>
      </c>
      <c r="I297" s="66">
        <v>0</v>
      </c>
      <c r="J297" s="66">
        <v>0</v>
      </c>
      <c r="K297" s="33">
        <f t="shared" si="42"/>
        <v>0</v>
      </c>
    </row>
    <row r="298" spans="1:11" ht="17.25" customHeight="1" thickBot="1" x14ac:dyDescent="0.3">
      <c r="A298" s="133" t="s">
        <v>298</v>
      </c>
      <c r="B298" s="106"/>
      <c r="C298" s="39">
        <v>0</v>
      </c>
      <c r="D298" s="128">
        <v>0</v>
      </c>
      <c r="E298" s="129">
        <f>SUM(C298:D298)</f>
        <v>0</v>
      </c>
      <c r="F298" s="129">
        <v>0</v>
      </c>
      <c r="G298" s="129">
        <v>0</v>
      </c>
      <c r="H298" s="130">
        <f>SUM(E298:G298)</f>
        <v>0</v>
      </c>
      <c r="I298" s="129">
        <v>0</v>
      </c>
      <c r="J298" s="129">
        <v>0</v>
      </c>
      <c r="K298" s="43">
        <f t="shared" si="42"/>
        <v>0</v>
      </c>
    </row>
    <row r="299" spans="1:11" ht="15" customHeight="1" thickBot="1" x14ac:dyDescent="0.3">
      <c r="A299" s="134" t="s">
        <v>87</v>
      </c>
      <c r="B299" s="125"/>
      <c r="C299" s="117">
        <f>SUM(C301:C308)</f>
        <v>0</v>
      </c>
      <c r="D299" s="118">
        <f>SUM(D301:D308)</f>
        <v>380</v>
      </c>
      <c r="E299" s="117">
        <f>SUM(C299:D299)</f>
        <v>380</v>
      </c>
      <c r="F299" s="117">
        <f>SUM(F301:F308)</f>
        <v>610</v>
      </c>
      <c r="G299" s="117">
        <f>SUM(G301:G308)</f>
        <v>1400</v>
      </c>
      <c r="H299" s="119">
        <f>SUM(H301:H308)</f>
        <v>2390</v>
      </c>
      <c r="I299" s="117">
        <f>SUM(I301:I308)</f>
        <v>151.26</v>
      </c>
      <c r="J299" s="117">
        <f>SUM(J301:J308)</f>
        <v>0</v>
      </c>
      <c r="K299" s="98">
        <f t="shared" si="42"/>
        <v>2541.2600000000002</v>
      </c>
    </row>
    <row r="300" spans="1:11" ht="13.5" customHeight="1" x14ac:dyDescent="0.25">
      <c r="A300" s="135" t="s">
        <v>34</v>
      </c>
      <c r="B300" s="100"/>
      <c r="C300" s="30"/>
      <c r="D300" s="31"/>
      <c r="E300" s="30"/>
      <c r="F300" s="30"/>
      <c r="G300" s="30"/>
      <c r="H300" s="32"/>
      <c r="I300" s="30"/>
      <c r="J300" s="30"/>
      <c r="K300" s="33"/>
    </row>
    <row r="301" spans="1:11" ht="16.5" customHeight="1" x14ac:dyDescent="0.25">
      <c r="A301" s="136" t="s">
        <v>299</v>
      </c>
      <c r="B301" s="102"/>
      <c r="C301" s="36">
        <v>0</v>
      </c>
      <c r="D301" s="31">
        <v>0</v>
      </c>
      <c r="E301" s="30">
        <f>SUM(C301:D301)</f>
        <v>0</v>
      </c>
      <c r="F301" s="30">
        <v>0</v>
      </c>
      <c r="G301" s="30">
        <v>0</v>
      </c>
      <c r="H301" s="32">
        <f>SUM(E301:G301)</f>
        <v>0</v>
      </c>
      <c r="I301" s="30">
        <v>0</v>
      </c>
      <c r="J301" s="30">
        <v>0</v>
      </c>
      <c r="K301" s="33">
        <f t="shared" si="42"/>
        <v>0</v>
      </c>
    </row>
    <row r="302" spans="1:11" ht="17.25" customHeight="1" x14ac:dyDescent="0.25">
      <c r="A302" s="136" t="s">
        <v>285</v>
      </c>
      <c r="B302" s="102"/>
      <c r="C302" s="36">
        <v>0</v>
      </c>
      <c r="D302" s="31">
        <f>380</f>
        <v>380</v>
      </c>
      <c r="E302" s="30">
        <f t="shared" ref="E302:E308" si="47">SUM(C302:D302)</f>
        <v>380</v>
      </c>
      <c r="F302" s="30">
        <v>0</v>
      </c>
      <c r="G302" s="30">
        <f>1400</f>
        <v>1400</v>
      </c>
      <c r="H302" s="32">
        <f t="shared" ref="H302:H308" si="48">SUM(E302:G302)</f>
        <v>1780</v>
      </c>
      <c r="I302" s="30">
        <v>0</v>
      </c>
      <c r="J302" s="30">
        <v>0</v>
      </c>
      <c r="K302" s="33">
        <f t="shared" si="42"/>
        <v>1780</v>
      </c>
    </row>
    <row r="303" spans="1:11" ht="26.25" customHeight="1" x14ac:dyDescent="0.25">
      <c r="A303" s="34" t="s">
        <v>300</v>
      </c>
      <c r="B303" s="102" t="s">
        <v>74</v>
      </c>
      <c r="C303" s="36">
        <v>0</v>
      </c>
      <c r="D303" s="122"/>
      <c r="E303" s="36">
        <v>0</v>
      </c>
      <c r="F303" s="36">
        <v>80</v>
      </c>
      <c r="G303" s="36">
        <v>0</v>
      </c>
      <c r="H303" s="36">
        <f t="shared" si="48"/>
        <v>80</v>
      </c>
      <c r="I303" s="30">
        <v>0</v>
      </c>
      <c r="J303" s="30">
        <v>0</v>
      </c>
      <c r="K303" s="33">
        <f t="shared" si="42"/>
        <v>80</v>
      </c>
    </row>
    <row r="304" spans="1:11" ht="31.5" customHeight="1" x14ac:dyDescent="0.25">
      <c r="A304" s="34" t="s">
        <v>301</v>
      </c>
      <c r="B304" s="102" t="s">
        <v>74</v>
      </c>
      <c r="C304" s="36">
        <v>0</v>
      </c>
      <c r="D304" s="31"/>
      <c r="E304" s="30">
        <v>0</v>
      </c>
      <c r="F304" s="30">
        <v>200</v>
      </c>
      <c r="G304" s="30">
        <v>0</v>
      </c>
      <c r="H304" s="32">
        <f t="shared" si="48"/>
        <v>200</v>
      </c>
      <c r="I304" s="30">
        <v>0</v>
      </c>
      <c r="J304" s="30">
        <v>0</v>
      </c>
      <c r="K304" s="33">
        <f t="shared" si="42"/>
        <v>200</v>
      </c>
    </row>
    <row r="305" spans="1:11" ht="27.75" customHeight="1" x14ac:dyDescent="0.25">
      <c r="A305" s="34" t="s">
        <v>302</v>
      </c>
      <c r="B305" s="102" t="s">
        <v>122</v>
      </c>
      <c r="C305" s="36">
        <v>0</v>
      </c>
      <c r="D305" s="31"/>
      <c r="E305" s="30"/>
      <c r="F305" s="30"/>
      <c r="G305" s="30"/>
      <c r="H305" s="32">
        <v>0</v>
      </c>
      <c r="I305" s="30">
        <v>151.26</v>
      </c>
      <c r="J305" s="30">
        <v>0</v>
      </c>
      <c r="K305" s="33">
        <f t="shared" si="42"/>
        <v>151.26</v>
      </c>
    </row>
    <row r="306" spans="1:11" ht="32.25" customHeight="1" x14ac:dyDescent="0.25">
      <c r="A306" s="34" t="s">
        <v>303</v>
      </c>
      <c r="B306" s="102" t="s">
        <v>74</v>
      </c>
      <c r="C306" s="36">
        <v>0</v>
      </c>
      <c r="D306" s="122"/>
      <c r="E306" s="36">
        <v>0</v>
      </c>
      <c r="F306" s="30">
        <v>80</v>
      </c>
      <c r="G306" s="30">
        <v>0</v>
      </c>
      <c r="H306" s="32">
        <f t="shared" si="48"/>
        <v>80</v>
      </c>
      <c r="I306" s="30">
        <v>0</v>
      </c>
      <c r="J306" s="30">
        <v>0</v>
      </c>
      <c r="K306" s="33">
        <f t="shared" si="42"/>
        <v>80</v>
      </c>
    </row>
    <row r="307" spans="1:11" ht="78" customHeight="1" x14ac:dyDescent="0.25">
      <c r="A307" s="34" t="s">
        <v>304</v>
      </c>
      <c r="B307" s="132" t="s">
        <v>140</v>
      </c>
      <c r="C307" s="36">
        <v>0</v>
      </c>
      <c r="D307" s="31"/>
      <c r="E307" s="30">
        <v>0</v>
      </c>
      <c r="F307" s="30">
        <v>250</v>
      </c>
      <c r="G307" s="30">
        <v>0</v>
      </c>
      <c r="H307" s="32">
        <f t="shared" si="48"/>
        <v>250</v>
      </c>
      <c r="I307" s="30">
        <v>0</v>
      </c>
      <c r="J307" s="30">
        <v>0</v>
      </c>
      <c r="K307" s="33">
        <f t="shared" si="42"/>
        <v>250</v>
      </c>
    </row>
    <row r="308" spans="1:11" ht="17.25" customHeight="1" thickBot="1" x14ac:dyDescent="0.3">
      <c r="A308" s="133" t="s">
        <v>305</v>
      </c>
      <c r="B308" s="106"/>
      <c r="C308" s="39">
        <v>0</v>
      </c>
      <c r="D308" s="40">
        <v>0</v>
      </c>
      <c r="E308" s="41">
        <f t="shared" si="47"/>
        <v>0</v>
      </c>
      <c r="F308" s="41">
        <v>0</v>
      </c>
      <c r="G308" s="41">
        <v>0</v>
      </c>
      <c r="H308" s="42">
        <f t="shared" si="48"/>
        <v>0</v>
      </c>
      <c r="I308" s="41">
        <v>0</v>
      </c>
      <c r="J308" s="41">
        <v>0</v>
      </c>
      <c r="K308" s="43">
        <f t="shared" si="42"/>
        <v>0</v>
      </c>
    </row>
    <row r="309" spans="1:11" ht="16.5" customHeight="1" thickBot="1" x14ac:dyDescent="0.3">
      <c r="A309" s="134" t="s">
        <v>163</v>
      </c>
      <c r="B309" s="125"/>
      <c r="C309" s="117">
        <f>SUM(C311:C313)</f>
        <v>3390</v>
      </c>
      <c r="D309" s="118">
        <f>SUM(D311:D313)</f>
        <v>0</v>
      </c>
      <c r="E309" s="117">
        <f>SUM(C309:D309)</f>
        <v>3390</v>
      </c>
      <c r="F309" s="117">
        <f>SUM(F311:F313)</f>
        <v>4156</v>
      </c>
      <c r="G309" s="117">
        <f>SUM(G311:G313)</f>
        <v>300</v>
      </c>
      <c r="H309" s="119">
        <f>SUM(H311:H313)</f>
        <v>7846</v>
      </c>
      <c r="I309" s="117">
        <f>SUM(I311:I313)</f>
        <v>2300</v>
      </c>
      <c r="J309" s="117">
        <f>SUM(J311:J313)</f>
        <v>4665</v>
      </c>
      <c r="K309" s="98">
        <f t="shared" si="42"/>
        <v>14811</v>
      </c>
    </row>
    <row r="310" spans="1:11" ht="15.75" customHeight="1" x14ac:dyDescent="0.25">
      <c r="A310" s="135" t="s">
        <v>34</v>
      </c>
      <c r="B310" s="100"/>
      <c r="C310" s="30"/>
      <c r="D310" s="31"/>
      <c r="E310" s="30"/>
      <c r="F310" s="30"/>
      <c r="G310" s="30"/>
      <c r="H310" s="32"/>
      <c r="I310" s="30"/>
      <c r="J310" s="30"/>
      <c r="K310" s="33"/>
    </row>
    <row r="311" spans="1:11" ht="27" customHeight="1" x14ac:dyDescent="0.25">
      <c r="A311" s="34" t="s">
        <v>306</v>
      </c>
      <c r="B311" s="102"/>
      <c r="C311" s="36">
        <v>0</v>
      </c>
      <c r="D311" s="31">
        <v>0</v>
      </c>
      <c r="E311" s="66">
        <f>SUM(C311:D311)</f>
        <v>0</v>
      </c>
      <c r="F311" s="66">
        <v>0</v>
      </c>
      <c r="G311" s="66">
        <v>0</v>
      </c>
      <c r="H311" s="110">
        <f>SUM(E311:G311)</f>
        <v>0</v>
      </c>
      <c r="I311" s="66">
        <v>0</v>
      </c>
      <c r="J311" s="66">
        <v>0</v>
      </c>
      <c r="K311" s="33">
        <f t="shared" si="42"/>
        <v>0</v>
      </c>
    </row>
    <row r="312" spans="1:11" ht="16.5" customHeight="1" x14ac:dyDescent="0.25">
      <c r="A312" s="136" t="s">
        <v>285</v>
      </c>
      <c r="B312" s="102"/>
      <c r="C312" s="36">
        <v>3390</v>
      </c>
      <c r="D312" s="31">
        <v>0</v>
      </c>
      <c r="E312" s="66">
        <f t="shared" ref="E312:E313" si="49">SUM(C312:D312)</f>
        <v>3390</v>
      </c>
      <c r="F312" s="66">
        <v>4156</v>
      </c>
      <c r="G312" s="66">
        <f>300</f>
        <v>300</v>
      </c>
      <c r="H312" s="110">
        <f t="shared" ref="H312:H313" si="50">SUM(E312:G312)</f>
        <v>7846</v>
      </c>
      <c r="I312" s="66">
        <v>2300</v>
      </c>
      <c r="J312" s="66">
        <f>130+163+4372</f>
        <v>4665</v>
      </c>
      <c r="K312" s="33">
        <f t="shared" si="42"/>
        <v>14811</v>
      </c>
    </row>
    <row r="313" spans="1:11" ht="24.75" customHeight="1" thickBot="1" x14ac:dyDescent="0.3">
      <c r="A313" s="37" t="s">
        <v>307</v>
      </c>
      <c r="B313" s="106"/>
      <c r="C313" s="39">
        <v>0</v>
      </c>
      <c r="D313" s="128">
        <v>0</v>
      </c>
      <c r="E313" s="129">
        <f t="shared" si="49"/>
        <v>0</v>
      </c>
      <c r="F313" s="129">
        <v>0</v>
      </c>
      <c r="G313" s="129">
        <v>0</v>
      </c>
      <c r="H313" s="130">
        <f t="shared" si="50"/>
        <v>0</v>
      </c>
      <c r="I313" s="129">
        <v>0</v>
      </c>
      <c r="J313" s="129">
        <v>0</v>
      </c>
      <c r="K313" s="145">
        <f t="shared" si="42"/>
        <v>0</v>
      </c>
    </row>
    <row r="314" spans="1:11" ht="15.75" customHeight="1" thickBot="1" x14ac:dyDescent="0.3">
      <c r="A314" s="134" t="s">
        <v>173</v>
      </c>
      <c r="B314" s="125"/>
      <c r="C314" s="117">
        <f>SUM(C316:C320)</f>
        <v>3914.71</v>
      </c>
      <c r="D314" s="118">
        <f>SUM(D316:D320)</f>
        <v>0</v>
      </c>
      <c r="E314" s="117">
        <f>SUM(C314:D314)</f>
        <v>3914.71</v>
      </c>
      <c r="F314" s="117">
        <f>SUM(F316:F320)</f>
        <v>2550</v>
      </c>
      <c r="G314" s="117">
        <f>SUM(G316:G320)</f>
        <v>-110</v>
      </c>
      <c r="H314" s="119">
        <f>SUM(H316:H320)</f>
        <v>6354.71</v>
      </c>
      <c r="I314" s="117">
        <f>SUM(I316:I320)</f>
        <v>1306</v>
      </c>
      <c r="J314" s="117">
        <f>SUM(J316:J320)</f>
        <v>0</v>
      </c>
      <c r="K314" s="98">
        <f t="shared" si="42"/>
        <v>7660.71</v>
      </c>
    </row>
    <row r="315" spans="1:11" ht="14.25" customHeight="1" x14ac:dyDescent="0.25">
      <c r="A315" s="135" t="s">
        <v>34</v>
      </c>
      <c r="B315" s="100"/>
      <c r="C315" s="30"/>
      <c r="D315" s="31"/>
      <c r="E315" s="30"/>
      <c r="F315" s="30"/>
      <c r="G315" s="30"/>
      <c r="H315" s="32"/>
      <c r="I315" s="30"/>
      <c r="J315" s="30"/>
      <c r="K315" s="33"/>
    </row>
    <row r="316" spans="1:11" ht="27" customHeight="1" x14ac:dyDescent="0.25">
      <c r="A316" s="34" t="s">
        <v>308</v>
      </c>
      <c r="B316" s="102"/>
      <c r="C316" s="36">
        <v>0</v>
      </c>
      <c r="D316" s="31">
        <v>0</v>
      </c>
      <c r="E316" s="66">
        <f>SUM(C316:D316)</f>
        <v>0</v>
      </c>
      <c r="F316" s="66">
        <v>0</v>
      </c>
      <c r="G316" s="66">
        <v>0</v>
      </c>
      <c r="H316" s="110">
        <f>SUM(E316:G316)</f>
        <v>0</v>
      </c>
      <c r="I316" s="66">
        <v>0</v>
      </c>
      <c r="J316" s="66">
        <v>0</v>
      </c>
      <c r="K316" s="33">
        <f t="shared" si="42"/>
        <v>0</v>
      </c>
    </row>
    <row r="317" spans="1:11" ht="18" customHeight="1" x14ac:dyDescent="0.25">
      <c r="A317" s="136" t="s">
        <v>285</v>
      </c>
      <c r="B317" s="102"/>
      <c r="C317" s="36">
        <v>500</v>
      </c>
      <c r="D317" s="31">
        <v>0</v>
      </c>
      <c r="E317" s="66">
        <f t="shared" ref="E317:E320" si="51">SUM(C317:D317)</f>
        <v>500</v>
      </c>
      <c r="F317" s="66">
        <v>2550</v>
      </c>
      <c r="G317" s="66">
        <f>-110</f>
        <v>-110</v>
      </c>
      <c r="H317" s="110">
        <f t="shared" ref="H317:H320" si="52">SUM(E317:G317)</f>
        <v>2940</v>
      </c>
      <c r="I317" s="66">
        <v>1306</v>
      </c>
      <c r="J317" s="66">
        <v>0</v>
      </c>
      <c r="K317" s="33">
        <f t="shared" si="42"/>
        <v>4246</v>
      </c>
    </row>
    <row r="318" spans="1:11" ht="28.5" customHeight="1" x14ac:dyDescent="0.25">
      <c r="A318" s="34" t="s">
        <v>175</v>
      </c>
      <c r="B318" s="102" t="s">
        <v>176</v>
      </c>
      <c r="C318" s="36">
        <v>1914.71</v>
      </c>
      <c r="D318" s="31">
        <v>0</v>
      </c>
      <c r="E318" s="66">
        <f t="shared" si="51"/>
        <v>1914.71</v>
      </c>
      <c r="F318" s="66">
        <v>0</v>
      </c>
      <c r="G318" s="66">
        <v>0</v>
      </c>
      <c r="H318" s="110">
        <f t="shared" si="52"/>
        <v>1914.71</v>
      </c>
      <c r="I318" s="66">
        <v>0</v>
      </c>
      <c r="J318" s="66">
        <v>0</v>
      </c>
      <c r="K318" s="33">
        <f t="shared" si="42"/>
        <v>1914.71</v>
      </c>
    </row>
    <row r="319" spans="1:11" ht="29.25" customHeight="1" x14ac:dyDescent="0.25">
      <c r="A319" s="34" t="s">
        <v>309</v>
      </c>
      <c r="B319" s="102" t="s">
        <v>310</v>
      </c>
      <c r="C319" s="36">
        <v>1500</v>
      </c>
      <c r="D319" s="31">
        <v>0</v>
      </c>
      <c r="E319" s="66">
        <f t="shared" si="51"/>
        <v>1500</v>
      </c>
      <c r="F319" s="66">
        <v>0</v>
      </c>
      <c r="G319" s="66">
        <v>0</v>
      </c>
      <c r="H319" s="110">
        <f t="shared" si="52"/>
        <v>1500</v>
      </c>
      <c r="I319" s="66">
        <v>0</v>
      </c>
      <c r="J319" s="66">
        <v>0</v>
      </c>
      <c r="K319" s="33">
        <f t="shared" si="42"/>
        <v>1500</v>
      </c>
    </row>
    <row r="320" spans="1:11" ht="31.5" customHeight="1" thickBot="1" x14ac:dyDescent="0.3">
      <c r="A320" s="37" t="s">
        <v>311</v>
      </c>
      <c r="B320" s="106"/>
      <c r="C320" s="39">
        <v>0</v>
      </c>
      <c r="D320" s="128">
        <v>0</v>
      </c>
      <c r="E320" s="129">
        <f t="shared" si="51"/>
        <v>0</v>
      </c>
      <c r="F320" s="129">
        <v>0</v>
      </c>
      <c r="G320" s="129">
        <v>0</v>
      </c>
      <c r="H320" s="130">
        <f t="shared" si="52"/>
        <v>0</v>
      </c>
      <c r="I320" s="129">
        <v>0</v>
      </c>
      <c r="J320" s="111">
        <v>0</v>
      </c>
      <c r="K320" s="43">
        <f t="shared" si="42"/>
        <v>0</v>
      </c>
    </row>
    <row r="321" spans="1:11" ht="15.75" customHeight="1" thickBot="1" x14ac:dyDescent="0.3">
      <c r="A321" s="134" t="s">
        <v>184</v>
      </c>
      <c r="B321" s="125"/>
      <c r="C321" s="117">
        <f>SUM(C323:C324)</f>
        <v>0</v>
      </c>
      <c r="D321" s="118">
        <f>SUM(D323:D324)</f>
        <v>0</v>
      </c>
      <c r="E321" s="117">
        <f>SUM(C321:D321)</f>
        <v>0</v>
      </c>
      <c r="F321" s="117">
        <f>SUM(F323:F324)</f>
        <v>0</v>
      </c>
      <c r="G321" s="117">
        <f>SUM(G323:G324)</f>
        <v>0</v>
      </c>
      <c r="H321" s="119">
        <f>SUM(H323:H324)</f>
        <v>0</v>
      </c>
      <c r="I321" s="117">
        <f>SUM(I323:I324)</f>
        <v>0</v>
      </c>
      <c r="J321" s="117">
        <f>SUM(J323:J324)</f>
        <v>0</v>
      </c>
      <c r="K321" s="98">
        <f t="shared" si="42"/>
        <v>0</v>
      </c>
    </row>
    <row r="322" spans="1:11" ht="15.75" customHeight="1" x14ac:dyDescent="0.25">
      <c r="A322" s="135" t="s">
        <v>34</v>
      </c>
      <c r="B322" s="100"/>
      <c r="C322" s="30"/>
      <c r="D322" s="31"/>
      <c r="E322" s="30"/>
      <c r="F322" s="30"/>
      <c r="G322" s="30"/>
      <c r="H322" s="32"/>
      <c r="I322" s="30"/>
      <c r="J322" s="30"/>
      <c r="K322" s="33"/>
    </row>
    <row r="323" spans="1:11" ht="17.25" customHeight="1" x14ac:dyDescent="0.25">
      <c r="A323" s="136" t="s">
        <v>312</v>
      </c>
      <c r="B323" s="102"/>
      <c r="C323" s="36">
        <v>0</v>
      </c>
      <c r="D323" s="31">
        <v>0</v>
      </c>
      <c r="E323" s="66">
        <f>SUM(C323:D323)</f>
        <v>0</v>
      </c>
      <c r="F323" s="66">
        <v>0</v>
      </c>
      <c r="G323" s="66">
        <v>0</v>
      </c>
      <c r="H323" s="110">
        <f>SUM(E323:G323)</f>
        <v>0</v>
      </c>
      <c r="I323" s="66">
        <v>0</v>
      </c>
      <c r="J323" s="66">
        <v>0</v>
      </c>
      <c r="K323" s="33">
        <f t="shared" si="42"/>
        <v>0</v>
      </c>
    </row>
    <row r="324" spans="1:11" ht="15.75" customHeight="1" thickBot="1" x14ac:dyDescent="0.3">
      <c r="A324" s="133" t="s">
        <v>313</v>
      </c>
      <c r="B324" s="106"/>
      <c r="C324" s="39">
        <v>0</v>
      </c>
      <c r="D324" s="40">
        <v>0</v>
      </c>
      <c r="E324" s="111">
        <f>SUM(C324:D324)</f>
        <v>0</v>
      </c>
      <c r="F324" s="111">
        <v>0</v>
      </c>
      <c r="G324" s="111">
        <v>0</v>
      </c>
      <c r="H324" s="114">
        <f>SUM(E324:G324)</f>
        <v>0</v>
      </c>
      <c r="I324" s="111">
        <v>0</v>
      </c>
      <c r="J324" s="111">
        <v>0</v>
      </c>
      <c r="K324" s="43">
        <f t="shared" si="42"/>
        <v>0</v>
      </c>
    </row>
    <row r="325" spans="1:11" ht="15.75" thickBot="1" x14ac:dyDescent="0.3">
      <c r="A325" s="134" t="s">
        <v>187</v>
      </c>
      <c r="B325" s="125"/>
      <c r="C325" s="117">
        <f>SUM(C327:C329)</f>
        <v>1000</v>
      </c>
      <c r="D325" s="118">
        <f>SUM(D327:D329)</f>
        <v>0</v>
      </c>
      <c r="E325" s="117">
        <f>SUM(C325:D325)</f>
        <v>1000</v>
      </c>
      <c r="F325" s="117">
        <f>SUM(F327:F329)</f>
        <v>0</v>
      </c>
      <c r="G325" s="117">
        <f>SUM(G327:G329)</f>
        <v>0</v>
      </c>
      <c r="H325" s="119">
        <f>SUM(H327:H329)</f>
        <v>1000</v>
      </c>
      <c r="I325" s="117">
        <f>SUM(I327:I329)</f>
        <v>0</v>
      </c>
      <c r="J325" s="117">
        <f>SUM(J327:J329)</f>
        <v>0</v>
      </c>
      <c r="K325" s="98">
        <f t="shared" si="42"/>
        <v>1000</v>
      </c>
    </row>
    <row r="326" spans="1:11" ht="14.25" customHeight="1" x14ac:dyDescent="0.25">
      <c r="A326" s="135" t="s">
        <v>34</v>
      </c>
      <c r="B326" s="100"/>
      <c r="C326" s="30"/>
      <c r="D326" s="31"/>
      <c r="E326" s="30"/>
      <c r="F326" s="30"/>
      <c r="G326" s="30"/>
      <c r="H326" s="32"/>
      <c r="I326" s="30"/>
      <c r="J326" s="30"/>
      <c r="K326" s="33"/>
    </row>
    <row r="327" spans="1:11" ht="15.75" customHeight="1" x14ac:dyDescent="0.25">
      <c r="A327" s="34" t="s">
        <v>314</v>
      </c>
      <c r="B327" s="102"/>
      <c r="C327" s="36">
        <v>0</v>
      </c>
      <c r="D327" s="31">
        <v>0</v>
      </c>
      <c r="E327" s="66">
        <f>SUM(C327:D327)</f>
        <v>0</v>
      </c>
      <c r="F327" s="66">
        <v>0</v>
      </c>
      <c r="G327" s="66">
        <v>0</v>
      </c>
      <c r="H327" s="110">
        <f>SUM(E327:G327)</f>
        <v>0</v>
      </c>
      <c r="I327" s="66">
        <v>0</v>
      </c>
      <c r="J327" s="66">
        <v>0</v>
      </c>
      <c r="K327" s="33">
        <f t="shared" si="42"/>
        <v>0</v>
      </c>
    </row>
    <row r="328" spans="1:11" ht="30.75" customHeight="1" x14ac:dyDescent="0.25">
      <c r="A328" s="34" t="s">
        <v>315</v>
      </c>
      <c r="B328" s="132" t="s">
        <v>74</v>
      </c>
      <c r="C328" s="36">
        <v>1000</v>
      </c>
      <c r="D328" s="31">
        <v>0</v>
      </c>
      <c r="E328" s="66">
        <f t="shared" ref="E328:E329" si="53">SUM(C328:D328)</f>
        <v>1000</v>
      </c>
      <c r="F328" s="66">
        <v>0</v>
      </c>
      <c r="G328" s="66">
        <v>0</v>
      </c>
      <c r="H328" s="110">
        <f t="shared" ref="H328:H329" si="54">SUM(E328:G328)</f>
        <v>1000</v>
      </c>
      <c r="I328" s="66">
        <v>0</v>
      </c>
      <c r="J328" s="66">
        <v>0</v>
      </c>
      <c r="K328" s="33">
        <f t="shared" si="42"/>
        <v>1000</v>
      </c>
    </row>
    <row r="329" spans="1:11" ht="15.75" thickBot="1" x14ac:dyDescent="0.3">
      <c r="A329" s="133" t="s">
        <v>316</v>
      </c>
      <c r="B329" s="106"/>
      <c r="C329" s="39">
        <v>0</v>
      </c>
      <c r="D329" s="128">
        <v>0</v>
      </c>
      <c r="E329" s="129">
        <f t="shared" si="53"/>
        <v>0</v>
      </c>
      <c r="F329" s="129">
        <v>0</v>
      </c>
      <c r="G329" s="129">
        <v>0</v>
      </c>
      <c r="H329" s="129">
        <f t="shared" si="54"/>
        <v>0</v>
      </c>
      <c r="I329" s="111">
        <v>0</v>
      </c>
      <c r="J329" s="111">
        <v>0</v>
      </c>
      <c r="K329" s="43">
        <f t="shared" si="42"/>
        <v>0</v>
      </c>
    </row>
    <row r="330" spans="1:11" ht="15" customHeight="1" thickBot="1" x14ac:dyDescent="0.3">
      <c r="A330" s="134" t="s">
        <v>234</v>
      </c>
      <c r="B330" s="125"/>
      <c r="C330" s="117">
        <f>SUM(C332:C336)</f>
        <v>307960</v>
      </c>
      <c r="D330" s="118">
        <f>SUM(D332:D336)</f>
        <v>10649</v>
      </c>
      <c r="E330" s="117">
        <f>SUM(C330:D330)</f>
        <v>318609</v>
      </c>
      <c r="F330" s="117">
        <f>SUM(F332:F336)</f>
        <v>114656</v>
      </c>
      <c r="G330" s="117">
        <f>SUM(G332:G336)</f>
        <v>-3758</v>
      </c>
      <c r="H330" s="117">
        <f>SUM(H332:H336)</f>
        <v>429123</v>
      </c>
      <c r="I330" s="117">
        <f>SUM(I332:I336)</f>
        <v>-26953</v>
      </c>
      <c r="J330" s="117">
        <f>SUM(J332:J336)</f>
        <v>27831</v>
      </c>
      <c r="K330" s="98">
        <f t="shared" si="42"/>
        <v>430001</v>
      </c>
    </row>
    <row r="331" spans="1:11" ht="15.75" customHeight="1" x14ac:dyDescent="0.25">
      <c r="A331" s="135" t="s">
        <v>34</v>
      </c>
      <c r="B331" s="100"/>
      <c r="C331" s="30"/>
      <c r="D331" s="31"/>
      <c r="E331" s="30"/>
      <c r="F331" s="30"/>
      <c r="G331" s="30"/>
      <c r="H331" s="32"/>
      <c r="I331" s="30"/>
      <c r="J331" s="30"/>
      <c r="K331" s="33"/>
    </row>
    <row r="332" spans="1:11" ht="17.25" customHeight="1" x14ac:dyDescent="0.25">
      <c r="A332" s="136" t="s">
        <v>317</v>
      </c>
      <c r="B332" s="102"/>
      <c r="C332" s="36">
        <v>21003</v>
      </c>
      <c r="D332" s="31">
        <f>6510</f>
        <v>6510</v>
      </c>
      <c r="E332" s="30">
        <f>SUM(C332:D332)</f>
        <v>27513</v>
      </c>
      <c r="F332" s="30">
        <v>0</v>
      </c>
      <c r="G332" s="30">
        <v>0</v>
      </c>
      <c r="H332" s="32">
        <f>SUM(E332:G332)</f>
        <v>27513</v>
      </c>
      <c r="I332" s="30">
        <v>0</v>
      </c>
      <c r="J332" s="30">
        <v>0</v>
      </c>
      <c r="K332" s="33">
        <f t="shared" si="42"/>
        <v>27513</v>
      </c>
    </row>
    <row r="333" spans="1:11" ht="15" customHeight="1" x14ac:dyDescent="0.25">
      <c r="A333" s="136" t="s">
        <v>285</v>
      </c>
      <c r="B333" s="102"/>
      <c r="C333" s="36">
        <v>285957</v>
      </c>
      <c r="D333" s="31">
        <f>6757-2325-293</f>
        <v>4139</v>
      </c>
      <c r="E333" s="30">
        <f>SUM(C333:D333)-254</f>
        <v>289842</v>
      </c>
      <c r="F333" s="30">
        <v>114656</v>
      </c>
      <c r="G333" s="30">
        <f>407-665-3500</f>
        <v>-3758</v>
      </c>
      <c r="H333" s="32">
        <f>SUM(E333:G333)-130</f>
        <v>400610</v>
      </c>
      <c r="I333" s="30">
        <v>-26953</v>
      </c>
      <c r="J333" s="30">
        <f>1423+20794+1000+5614</f>
        <v>28831</v>
      </c>
      <c r="K333" s="33">
        <f t="shared" si="42"/>
        <v>402488</v>
      </c>
    </row>
    <row r="334" spans="1:11" ht="27" customHeight="1" x14ac:dyDescent="0.25">
      <c r="A334" s="34" t="s">
        <v>318</v>
      </c>
      <c r="B334" s="102"/>
      <c r="C334" s="36">
        <v>1000</v>
      </c>
      <c r="D334" s="31">
        <v>0</v>
      </c>
      <c r="E334" s="30">
        <f t="shared" ref="E334:E336" si="55">SUM(C334:D334)</f>
        <v>1000</v>
      </c>
      <c r="F334" s="30">
        <v>0</v>
      </c>
      <c r="G334" s="30">
        <v>0</v>
      </c>
      <c r="H334" s="32">
        <f t="shared" ref="H334:H336" si="56">SUM(E334:G334)</f>
        <v>1000</v>
      </c>
      <c r="I334" s="30">
        <v>0</v>
      </c>
      <c r="J334" s="30">
        <f>-1000</f>
        <v>-1000</v>
      </c>
      <c r="K334" s="33">
        <f t="shared" si="42"/>
        <v>0</v>
      </c>
    </row>
    <row r="335" spans="1:11" ht="15.75" customHeight="1" x14ac:dyDescent="0.25">
      <c r="A335" s="136" t="s">
        <v>319</v>
      </c>
      <c r="B335" s="102"/>
      <c r="C335" s="36">
        <v>0</v>
      </c>
      <c r="D335" s="31">
        <v>0</v>
      </c>
      <c r="E335" s="30">
        <f t="shared" si="55"/>
        <v>0</v>
      </c>
      <c r="F335" s="30">
        <v>0</v>
      </c>
      <c r="G335" s="30">
        <v>0</v>
      </c>
      <c r="H335" s="32">
        <f t="shared" si="56"/>
        <v>0</v>
      </c>
      <c r="I335" s="30">
        <v>0</v>
      </c>
      <c r="J335" s="30">
        <v>0</v>
      </c>
      <c r="K335" s="33">
        <f t="shared" si="42"/>
        <v>0</v>
      </c>
    </row>
    <row r="336" spans="1:11" ht="15.75" customHeight="1" thickBot="1" x14ac:dyDescent="0.3">
      <c r="A336" s="133" t="s">
        <v>320</v>
      </c>
      <c r="B336" s="106"/>
      <c r="C336" s="39">
        <v>0</v>
      </c>
      <c r="D336" s="128">
        <v>0</v>
      </c>
      <c r="E336" s="41">
        <f t="shared" si="55"/>
        <v>0</v>
      </c>
      <c r="F336" s="41">
        <v>0</v>
      </c>
      <c r="G336" s="41">
        <v>0</v>
      </c>
      <c r="H336" s="42">
        <f t="shared" si="56"/>
        <v>0</v>
      </c>
      <c r="I336" s="41">
        <v>0</v>
      </c>
      <c r="J336" s="41">
        <v>0</v>
      </c>
      <c r="K336" s="43">
        <f t="shared" si="42"/>
        <v>0</v>
      </c>
    </row>
    <row r="337" spans="1:11" ht="15.75" customHeight="1" thickBot="1" x14ac:dyDescent="0.3">
      <c r="A337" s="134" t="s">
        <v>237</v>
      </c>
      <c r="B337" s="125"/>
      <c r="C337" s="117">
        <f>SUM(C339:C345)</f>
        <v>6500</v>
      </c>
      <c r="D337" s="118">
        <f>SUM(D339:D345)</f>
        <v>0</v>
      </c>
      <c r="E337" s="117">
        <f>SUM(C337:D337)</f>
        <v>6500</v>
      </c>
      <c r="F337" s="117">
        <f>SUM(F339:F345)</f>
        <v>-847.83</v>
      </c>
      <c r="G337" s="117">
        <f>SUM(G339:G345)</f>
        <v>-92.300000000000011</v>
      </c>
      <c r="H337" s="119">
        <f>SUM(H339:H345)</f>
        <v>5559.87</v>
      </c>
      <c r="I337" s="117">
        <f>SUM(I339:I345)</f>
        <v>-2118.1</v>
      </c>
      <c r="J337" s="117">
        <f>SUM(J339:J345)</f>
        <v>-350.1</v>
      </c>
      <c r="K337" s="98">
        <f t="shared" si="42"/>
        <v>3091.67</v>
      </c>
    </row>
    <row r="338" spans="1:11" ht="15" customHeight="1" x14ac:dyDescent="0.25">
      <c r="A338" s="135" t="s">
        <v>34</v>
      </c>
      <c r="B338" s="100"/>
      <c r="C338" s="30"/>
      <c r="D338" s="31"/>
      <c r="E338" s="30"/>
      <c r="F338" s="30"/>
      <c r="G338" s="30"/>
      <c r="H338" s="32"/>
      <c r="I338" s="30"/>
      <c r="J338" s="30"/>
      <c r="K338" s="33"/>
    </row>
    <row r="339" spans="1:11" ht="30" customHeight="1" x14ac:dyDescent="0.25">
      <c r="A339" s="34" t="s">
        <v>321</v>
      </c>
      <c r="B339" s="132"/>
      <c r="C339" s="36">
        <v>0</v>
      </c>
      <c r="D339" s="31">
        <v>0</v>
      </c>
      <c r="E339" s="66">
        <f>SUM(C339:D339)</f>
        <v>0</v>
      </c>
      <c r="F339" s="66">
        <v>0</v>
      </c>
      <c r="G339" s="66">
        <v>0</v>
      </c>
      <c r="H339" s="110">
        <f>SUM(E339:G339)</f>
        <v>0</v>
      </c>
      <c r="I339" s="66">
        <v>0</v>
      </c>
      <c r="J339" s="66">
        <v>0</v>
      </c>
      <c r="K339" s="33">
        <f t="shared" si="42"/>
        <v>0</v>
      </c>
    </row>
    <row r="340" spans="1:11" ht="30.75" customHeight="1" x14ac:dyDescent="0.25">
      <c r="A340" s="34" t="s">
        <v>322</v>
      </c>
      <c r="B340" s="160" t="s">
        <v>323</v>
      </c>
      <c r="C340" s="36">
        <v>5000</v>
      </c>
      <c r="D340" s="31">
        <v>0</v>
      </c>
      <c r="E340" s="66">
        <f t="shared" ref="E340:E345" si="57">SUM(C340:D340)</f>
        <v>5000</v>
      </c>
      <c r="F340" s="66">
        <v>-1050</v>
      </c>
      <c r="G340" s="66">
        <v>0</v>
      </c>
      <c r="H340" s="110">
        <f t="shared" ref="H340:H345" si="58">SUM(E340:G340)</f>
        <v>3950</v>
      </c>
      <c r="I340" s="66">
        <v>-2318.1</v>
      </c>
      <c r="J340" s="66">
        <v>0</v>
      </c>
      <c r="K340" s="33">
        <f t="shared" si="42"/>
        <v>1631.9</v>
      </c>
    </row>
    <row r="341" spans="1:11" ht="15.75" customHeight="1" x14ac:dyDescent="0.25">
      <c r="A341" s="136" t="s">
        <v>324</v>
      </c>
      <c r="B341" s="102"/>
      <c r="C341" s="36">
        <v>1000</v>
      </c>
      <c r="D341" s="31">
        <v>0</v>
      </c>
      <c r="E341" s="66">
        <f t="shared" si="57"/>
        <v>1000</v>
      </c>
      <c r="F341" s="66">
        <v>0</v>
      </c>
      <c r="G341" s="66">
        <f>-157.3</f>
        <v>-157.30000000000001</v>
      </c>
      <c r="H341" s="110">
        <f t="shared" si="58"/>
        <v>842.7</v>
      </c>
      <c r="I341" s="66">
        <v>0</v>
      </c>
      <c r="J341" s="66">
        <f>-326.7-121-229.9</f>
        <v>-677.6</v>
      </c>
      <c r="K341" s="33">
        <f t="shared" si="42"/>
        <v>165.10000000000002</v>
      </c>
    </row>
    <row r="342" spans="1:11" ht="15" customHeight="1" x14ac:dyDescent="0.25">
      <c r="A342" s="136" t="s">
        <v>285</v>
      </c>
      <c r="B342" s="102"/>
      <c r="C342" s="36">
        <v>500</v>
      </c>
      <c r="D342" s="31">
        <v>0</v>
      </c>
      <c r="E342" s="66">
        <f t="shared" si="57"/>
        <v>500</v>
      </c>
      <c r="F342" s="66">
        <v>0</v>
      </c>
      <c r="G342" s="66">
        <f>27+38</f>
        <v>65</v>
      </c>
      <c r="H342" s="110">
        <f t="shared" si="58"/>
        <v>565</v>
      </c>
      <c r="I342" s="66">
        <v>0</v>
      </c>
      <c r="J342" s="66">
        <f>25+302.5</f>
        <v>327.5</v>
      </c>
      <c r="K342" s="33">
        <f t="shared" si="42"/>
        <v>892.5</v>
      </c>
    </row>
    <row r="343" spans="1:11" ht="40.5" customHeight="1" x14ac:dyDescent="0.25">
      <c r="A343" s="37" t="s">
        <v>325</v>
      </c>
      <c r="B343" s="106"/>
      <c r="C343" s="36">
        <v>0</v>
      </c>
      <c r="D343" s="31"/>
      <c r="E343" s="66">
        <v>0</v>
      </c>
      <c r="F343" s="66">
        <v>202.17</v>
      </c>
      <c r="G343" s="66">
        <v>0</v>
      </c>
      <c r="H343" s="110">
        <f t="shared" si="58"/>
        <v>202.17</v>
      </c>
      <c r="I343" s="66">
        <v>0</v>
      </c>
      <c r="J343" s="66">
        <v>0</v>
      </c>
      <c r="K343" s="33">
        <f t="shared" si="42"/>
        <v>202.17</v>
      </c>
    </row>
    <row r="344" spans="1:11" ht="29.25" customHeight="1" x14ac:dyDescent="0.25">
      <c r="A344" s="34" t="s">
        <v>326</v>
      </c>
      <c r="B344" s="102"/>
      <c r="C344" s="36">
        <v>0</v>
      </c>
      <c r="D344" s="122"/>
      <c r="E344" s="64"/>
      <c r="F344" s="64"/>
      <c r="G344" s="64"/>
      <c r="H344" s="104">
        <v>0</v>
      </c>
      <c r="I344" s="64">
        <v>200</v>
      </c>
      <c r="J344" s="66">
        <v>0</v>
      </c>
      <c r="K344" s="33">
        <f t="shared" si="42"/>
        <v>200</v>
      </c>
    </row>
    <row r="345" spans="1:11" ht="26.25" customHeight="1" thickBot="1" x14ac:dyDescent="0.3">
      <c r="A345" s="50" t="s">
        <v>327</v>
      </c>
      <c r="B345" s="113"/>
      <c r="C345" s="129">
        <v>0</v>
      </c>
      <c r="D345" s="40">
        <v>0</v>
      </c>
      <c r="E345" s="111">
        <f t="shared" si="57"/>
        <v>0</v>
      </c>
      <c r="F345" s="111">
        <v>0</v>
      </c>
      <c r="G345" s="111">
        <v>0</v>
      </c>
      <c r="H345" s="114">
        <f t="shared" si="58"/>
        <v>0</v>
      </c>
      <c r="I345" s="111">
        <v>0</v>
      </c>
      <c r="J345" s="111">
        <v>0</v>
      </c>
      <c r="K345" s="43">
        <f t="shared" ref="K345:K376" si="59">SUM(H345:J345)</f>
        <v>0</v>
      </c>
    </row>
    <row r="346" spans="1:11" ht="16.5" customHeight="1" thickBot="1" x14ac:dyDescent="0.3">
      <c r="A346" s="134" t="s">
        <v>263</v>
      </c>
      <c r="B346" s="125"/>
      <c r="C346" s="117">
        <f>SUM(C348:C349)</f>
        <v>850</v>
      </c>
      <c r="D346" s="118">
        <f>SUM(D348:D349)</f>
        <v>0</v>
      </c>
      <c r="E346" s="154">
        <f>SUM(C346:D346)</f>
        <v>850</v>
      </c>
      <c r="F346" s="154">
        <f>SUM(F348:F349)</f>
        <v>0</v>
      </c>
      <c r="G346" s="154">
        <f>SUM(G348:G349)</f>
        <v>0</v>
      </c>
      <c r="H346" s="155">
        <f>SUM(H348:H349)</f>
        <v>850</v>
      </c>
      <c r="I346" s="154">
        <f>SUM(I348:I349)</f>
        <v>0</v>
      </c>
      <c r="J346" s="154">
        <f>SUM(J348:J349)</f>
        <v>0</v>
      </c>
      <c r="K346" s="98">
        <f t="shared" si="59"/>
        <v>850</v>
      </c>
    </row>
    <row r="347" spans="1:11" ht="14.25" customHeight="1" x14ac:dyDescent="0.25">
      <c r="A347" s="135" t="s">
        <v>34</v>
      </c>
      <c r="B347" s="100"/>
      <c r="C347" s="30"/>
      <c r="D347" s="31"/>
      <c r="E347" s="30"/>
      <c r="F347" s="30"/>
      <c r="G347" s="30"/>
      <c r="H347" s="32"/>
      <c r="I347" s="30"/>
      <c r="J347" s="30"/>
      <c r="K347" s="33"/>
    </row>
    <row r="348" spans="1:11" ht="17.25" customHeight="1" x14ac:dyDescent="0.25">
      <c r="A348" s="135" t="s">
        <v>328</v>
      </c>
      <c r="B348" s="100"/>
      <c r="C348" s="36">
        <v>0</v>
      </c>
      <c r="D348" s="31">
        <v>0</v>
      </c>
      <c r="E348" s="66">
        <f>SUM(C348:D348)</f>
        <v>0</v>
      </c>
      <c r="F348" s="66">
        <v>0</v>
      </c>
      <c r="G348" s="66">
        <v>0</v>
      </c>
      <c r="H348" s="110">
        <f>SUM(E348:G348)</f>
        <v>0</v>
      </c>
      <c r="I348" s="66">
        <v>0</v>
      </c>
      <c r="J348" s="66">
        <v>0</v>
      </c>
      <c r="K348" s="33">
        <f t="shared" si="59"/>
        <v>0</v>
      </c>
    </row>
    <row r="349" spans="1:11" ht="16.5" customHeight="1" thickBot="1" x14ac:dyDescent="0.3">
      <c r="A349" s="133" t="s">
        <v>285</v>
      </c>
      <c r="B349" s="106"/>
      <c r="C349" s="39">
        <v>850</v>
      </c>
      <c r="D349" s="40">
        <v>0</v>
      </c>
      <c r="E349" s="111">
        <f>SUM(C349:D349)</f>
        <v>850</v>
      </c>
      <c r="F349" s="111">
        <v>0</v>
      </c>
      <c r="G349" s="111">
        <v>0</v>
      </c>
      <c r="H349" s="114">
        <f>SUM(E349:G349)</f>
        <v>850</v>
      </c>
      <c r="I349" s="111">
        <v>0</v>
      </c>
      <c r="J349" s="111">
        <v>0</v>
      </c>
      <c r="K349" s="43">
        <f t="shared" si="59"/>
        <v>850</v>
      </c>
    </row>
    <row r="350" spans="1:11" ht="14.25" customHeight="1" thickBot="1" x14ac:dyDescent="0.3">
      <c r="A350" s="134" t="s">
        <v>266</v>
      </c>
      <c r="B350" s="125"/>
      <c r="C350" s="117">
        <f>SUM(C352:C353)</f>
        <v>3342</v>
      </c>
      <c r="D350" s="118">
        <f>SUM(D352:D353)</f>
        <v>-595</v>
      </c>
      <c r="E350" s="117">
        <f>SUM(C350:D350)</f>
        <v>2747</v>
      </c>
      <c r="F350" s="117">
        <f>SUM(F352:F353)</f>
        <v>1500</v>
      </c>
      <c r="G350" s="117">
        <f>SUM(G352:G353)</f>
        <v>-95</v>
      </c>
      <c r="H350" s="119">
        <f>SUM(H352:H353)</f>
        <v>4152</v>
      </c>
      <c r="I350" s="117">
        <f>SUM(I352:I353)</f>
        <v>1093</v>
      </c>
      <c r="J350" s="117">
        <f>SUM(J352:J353)</f>
        <v>-1106.7</v>
      </c>
      <c r="K350" s="98">
        <f t="shared" si="59"/>
        <v>4138.3</v>
      </c>
    </row>
    <row r="351" spans="1:11" x14ac:dyDescent="0.25">
      <c r="A351" s="135" t="s">
        <v>34</v>
      </c>
      <c r="B351" s="100"/>
      <c r="C351" s="30"/>
      <c r="D351" s="31"/>
      <c r="E351" s="30"/>
      <c r="F351" s="30"/>
      <c r="G351" s="30"/>
      <c r="H351" s="32"/>
      <c r="I351" s="30"/>
      <c r="J351" s="30"/>
      <c r="K351" s="33"/>
    </row>
    <row r="352" spans="1:11" ht="28.5" customHeight="1" x14ac:dyDescent="0.25">
      <c r="A352" s="34" t="s">
        <v>329</v>
      </c>
      <c r="B352" s="102"/>
      <c r="C352" s="36">
        <v>0</v>
      </c>
      <c r="D352" s="31">
        <v>0</v>
      </c>
      <c r="E352" s="66">
        <f>SUM(C352:D352)</f>
        <v>0</v>
      </c>
      <c r="F352" s="66">
        <v>0</v>
      </c>
      <c r="G352" s="66">
        <v>0</v>
      </c>
      <c r="H352" s="110">
        <f>SUM(E352:G352)</f>
        <v>0</v>
      </c>
      <c r="I352" s="66">
        <v>0</v>
      </c>
      <c r="J352" s="66">
        <v>0</v>
      </c>
      <c r="K352" s="33">
        <f t="shared" si="59"/>
        <v>0</v>
      </c>
    </row>
    <row r="353" spans="1:11" ht="15.75" customHeight="1" thickBot="1" x14ac:dyDescent="0.3">
      <c r="A353" s="133" t="s">
        <v>285</v>
      </c>
      <c r="B353" s="106"/>
      <c r="C353" s="39">
        <v>3342</v>
      </c>
      <c r="D353" s="128">
        <f>205-800</f>
        <v>-595</v>
      </c>
      <c r="E353" s="129">
        <f>SUM(C353:D353)</f>
        <v>2747</v>
      </c>
      <c r="F353" s="129">
        <v>1500</v>
      </c>
      <c r="G353" s="129">
        <f>54-149</f>
        <v>-95</v>
      </c>
      <c r="H353" s="130">
        <f>SUM(E353:G353)</f>
        <v>4152</v>
      </c>
      <c r="I353" s="129">
        <v>1093</v>
      </c>
      <c r="J353" s="129">
        <f>54.3-21-50-1090</f>
        <v>-1106.7</v>
      </c>
      <c r="K353" s="145">
        <f t="shared" si="59"/>
        <v>4138.3</v>
      </c>
    </row>
    <row r="354" spans="1:11" ht="15.75" customHeight="1" thickBot="1" x14ac:dyDescent="0.3">
      <c r="A354" s="146" t="s">
        <v>269</v>
      </c>
      <c r="B354" s="125"/>
      <c r="C354" s="117">
        <f>SUM(C356:C358)</f>
        <v>23190.41</v>
      </c>
      <c r="D354" s="118">
        <f>SUM(D356:D358)</f>
        <v>0</v>
      </c>
      <c r="E354" s="117">
        <f>SUM(C354:D354)</f>
        <v>23190.41</v>
      </c>
      <c r="F354" s="117">
        <f>SUM(F356:F358)</f>
        <v>0</v>
      </c>
      <c r="G354" s="117">
        <f>SUM(G356:G358)</f>
        <v>48</v>
      </c>
      <c r="H354" s="119">
        <f>SUM(H356:H358)</f>
        <v>23238.41</v>
      </c>
      <c r="I354" s="117">
        <f>SUM(I356:I358)</f>
        <v>5120</v>
      </c>
      <c r="J354" s="117">
        <f>SUM(J356:J358)</f>
        <v>-415.56</v>
      </c>
      <c r="K354" s="98">
        <f t="shared" si="59"/>
        <v>27942.85</v>
      </c>
    </row>
    <row r="355" spans="1:11" ht="15.75" customHeight="1" x14ac:dyDescent="0.25">
      <c r="A355" s="135" t="s">
        <v>34</v>
      </c>
      <c r="B355" s="100"/>
      <c r="C355" s="30"/>
      <c r="D355" s="31"/>
      <c r="E355" s="30"/>
      <c r="F355" s="30"/>
      <c r="G355" s="30"/>
      <c r="H355" s="32"/>
      <c r="I355" s="30"/>
      <c r="J355" s="30"/>
      <c r="K355" s="33"/>
    </row>
    <row r="356" spans="1:11" ht="25.5" customHeight="1" x14ac:dyDescent="0.25">
      <c r="A356" s="34" t="s">
        <v>330</v>
      </c>
      <c r="B356" s="102"/>
      <c r="C356" s="64">
        <v>0</v>
      </c>
      <c r="D356" s="65">
        <v>0</v>
      </c>
      <c r="E356" s="66">
        <f>SUM(C356:D356)</f>
        <v>0</v>
      </c>
      <c r="F356" s="66">
        <v>0</v>
      </c>
      <c r="G356" s="66">
        <v>0</v>
      </c>
      <c r="H356" s="110">
        <f>SUM(E356:G356)</f>
        <v>0</v>
      </c>
      <c r="I356" s="66">
        <v>0</v>
      </c>
      <c r="J356" s="66">
        <v>0</v>
      </c>
      <c r="K356" s="33">
        <f t="shared" si="59"/>
        <v>0</v>
      </c>
    </row>
    <row r="357" spans="1:11" ht="15.75" customHeight="1" x14ac:dyDescent="0.25">
      <c r="A357" s="136" t="s">
        <v>285</v>
      </c>
      <c r="B357" s="102"/>
      <c r="C357" s="36">
        <v>22440.41</v>
      </c>
      <c r="D357" s="65">
        <v>0</v>
      </c>
      <c r="E357" s="66">
        <f t="shared" ref="E357:E358" si="60">SUM(C357:D357)</f>
        <v>22440.41</v>
      </c>
      <c r="F357" s="66">
        <v>0</v>
      </c>
      <c r="G357" s="66">
        <f>48</f>
        <v>48</v>
      </c>
      <c r="H357" s="110">
        <f t="shared" ref="H357:H358" si="61">SUM(E357:G357)</f>
        <v>22488.41</v>
      </c>
      <c r="I357" s="66">
        <v>5120</v>
      </c>
      <c r="J357" s="66">
        <f>-415.56</f>
        <v>-415.56</v>
      </c>
      <c r="K357" s="33">
        <f t="shared" si="59"/>
        <v>27192.85</v>
      </c>
    </row>
    <row r="358" spans="1:11" ht="27.75" customHeight="1" thickBot="1" x14ac:dyDescent="0.3">
      <c r="A358" s="161" t="s">
        <v>331</v>
      </c>
      <c r="B358" s="140" t="s">
        <v>74</v>
      </c>
      <c r="C358" s="39">
        <v>750</v>
      </c>
      <c r="D358" s="162">
        <v>0</v>
      </c>
      <c r="E358" s="129">
        <f t="shared" si="60"/>
        <v>750</v>
      </c>
      <c r="F358" s="129">
        <v>0</v>
      </c>
      <c r="G358" s="129">
        <v>0</v>
      </c>
      <c r="H358" s="130">
        <f t="shared" si="61"/>
        <v>750</v>
      </c>
      <c r="I358" s="129">
        <v>0</v>
      </c>
      <c r="J358" s="129">
        <v>0</v>
      </c>
      <c r="K358" s="145">
        <f t="shared" si="59"/>
        <v>750</v>
      </c>
    </row>
    <row r="359" spans="1:11" ht="16.5" customHeight="1" thickBot="1" x14ac:dyDescent="0.3">
      <c r="A359" s="148" t="s">
        <v>332</v>
      </c>
      <c r="B359" s="149"/>
      <c r="C359" s="150">
        <f>SUM(C270+C274+C280+C290+C295+C299+C309+C314+C321+C325+C330+C337+C346+C350+C354)</f>
        <v>365282.12</v>
      </c>
      <c r="D359" s="151">
        <f>SUM(D270+D274+D280+D290+D295+D299+D309+D314+D321+D325+D330+D337+D346+D350+D354)</f>
        <v>17951</v>
      </c>
      <c r="E359" s="150">
        <f>SUM(C359:D359)</f>
        <v>383233.12</v>
      </c>
      <c r="F359" s="150">
        <f>F270+F274+F280+F290+F295+F299+F309+F314+F321+F325+F330+F337+F346+F350+F354</f>
        <v>156974.36000000002</v>
      </c>
      <c r="G359" s="150">
        <f>SUM(G270+G274+G280+G290+G295+G299+G309+G314+G321+G325+G330+G337+G346+G350+G354)</f>
        <v>5138.7</v>
      </c>
      <c r="H359" s="152">
        <f>H270+H274+H280+H290+H295+H299+H309+H314+H321+H325+H330+H337+H346+H350+H354</f>
        <v>545036.48</v>
      </c>
      <c r="I359" s="150">
        <f>I270+I274+I280+I290+I295+I299+I309+I314+I321+I325+I330+I337+I346+I350+I354</f>
        <v>28108.530000000006</v>
      </c>
      <c r="J359" s="150">
        <f>SUM(J270+J274+J280+J290+J295+J299+J309+J314+J321+J325+J330+J337+J346+J350+J354)</f>
        <v>22004.239999999998</v>
      </c>
      <c r="K359" s="153">
        <f t="shared" si="59"/>
        <v>595149.25</v>
      </c>
    </row>
    <row r="360" spans="1:11" ht="16.5" customHeight="1" thickBot="1" x14ac:dyDescent="0.3">
      <c r="A360" s="163" t="s">
        <v>333</v>
      </c>
      <c r="B360" s="164"/>
      <c r="C360" s="150">
        <f>C267+C359</f>
        <v>1623178.85</v>
      </c>
      <c r="D360" s="151">
        <f>D267+D359</f>
        <v>9468.98</v>
      </c>
      <c r="E360" s="150">
        <f>SUM(C360:D360)</f>
        <v>1632647.83</v>
      </c>
      <c r="F360" s="150">
        <f>F267+F359</f>
        <v>216501.92</v>
      </c>
      <c r="G360" s="150">
        <f>SUM(G267+G359)</f>
        <v>67708.3</v>
      </c>
      <c r="H360" s="152">
        <f>H267+H359</f>
        <v>1922239.5899999999</v>
      </c>
      <c r="I360" s="150">
        <f>I267+I359</f>
        <v>48383.710000000006</v>
      </c>
      <c r="J360" s="150">
        <f>SUM(J267+J359)</f>
        <v>9390.5499999999975</v>
      </c>
      <c r="K360" s="153">
        <f t="shared" si="59"/>
        <v>1980013.8499999999</v>
      </c>
    </row>
    <row r="361" spans="1:11" ht="14.25" customHeight="1" x14ac:dyDescent="0.25">
      <c r="A361" s="165"/>
      <c r="B361" s="166"/>
      <c r="C361" s="167"/>
      <c r="D361" s="168"/>
      <c r="E361" s="167"/>
      <c r="F361" s="167"/>
      <c r="G361" s="167"/>
      <c r="H361" s="169"/>
      <c r="I361" s="167"/>
      <c r="J361" s="167"/>
      <c r="K361" s="170"/>
    </row>
    <row r="362" spans="1:11" ht="30.75" customHeight="1" thickBot="1" x14ac:dyDescent="0.3">
      <c r="A362" s="171" t="s">
        <v>334</v>
      </c>
      <c r="B362" s="172"/>
      <c r="C362" s="173"/>
      <c r="D362" s="174"/>
      <c r="E362" s="173"/>
      <c r="F362" s="173"/>
      <c r="G362" s="173"/>
      <c r="H362" s="175"/>
      <c r="I362" s="173"/>
      <c r="J362" s="173"/>
      <c r="K362" s="176"/>
    </row>
    <row r="363" spans="1:11" ht="16.5" customHeight="1" x14ac:dyDescent="0.25">
      <c r="A363" s="28" t="s">
        <v>335</v>
      </c>
      <c r="B363" s="100"/>
      <c r="C363" s="30">
        <v>9350</v>
      </c>
      <c r="D363" s="31">
        <v>0</v>
      </c>
      <c r="E363" s="30">
        <f>SUM(C363:D363)</f>
        <v>9350</v>
      </c>
      <c r="F363" s="30">
        <v>0</v>
      </c>
      <c r="G363" s="30">
        <v>0</v>
      </c>
      <c r="H363" s="32">
        <f>SUM(E363:G363)</f>
        <v>9350</v>
      </c>
      <c r="I363" s="30">
        <v>0</v>
      </c>
      <c r="J363" s="30">
        <v>0</v>
      </c>
      <c r="K363" s="33">
        <f t="shared" si="59"/>
        <v>9350</v>
      </c>
    </row>
    <row r="364" spans="1:11" ht="30" customHeight="1" x14ac:dyDescent="0.25">
      <c r="A364" s="34" t="s">
        <v>336</v>
      </c>
      <c r="B364" s="102"/>
      <c r="C364" s="36">
        <v>0</v>
      </c>
      <c r="D364" s="31">
        <v>0</v>
      </c>
      <c r="E364" s="30">
        <f t="shared" ref="E364:E370" si="62">SUM(C364:D364)</f>
        <v>0</v>
      </c>
      <c r="F364" s="30">
        <v>0</v>
      </c>
      <c r="G364" s="30">
        <v>0</v>
      </c>
      <c r="H364" s="32">
        <f t="shared" ref="H364:H370" si="63">SUM(E364:G364)</f>
        <v>0</v>
      </c>
      <c r="I364" s="30">
        <v>0</v>
      </c>
      <c r="J364" s="30">
        <v>0</v>
      </c>
      <c r="K364" s="33">
        <f t="shared" si="59"/>
        <v>0</v>
      </c>
    </row>
    <row r="365" spans="1:11" ht="29.25" customHeight="1" x14ac:dyDescent="0.25">
      <c r="A365" s="34" t="s">
        <v>337</v>
      </c>
      <c r="B365" s="102"/>
      <c r="C365" s="36">
        <v>0</v>
      </c>
      <c r="D365" s="31">
        <v>0</v>
      </c>
      <c r="E365" s="30">
        <f t="shared" si="62"/>
        <v>0</v>
      </c>
      <c r="F365" s="30">
        <v>0</v>
      </c>
      <c r="G365" s="30">
        <v>0</v>
      </c>
      <c r="H365" s="32">
        <f t="shared" si="63"/>
        <v>0</v>
      </c>
      <c r="I365" s="30">
        <v>0</v>
      </c>
      <c r="J365" s="30">
        <v>0</v>
      </c>
      <c r="K365" s="33">
        <f t="shared" si="59"/>
        <v>0</v>
      </c>
    </row>
    <row r="366" spans="1:11" ht="17.25" customHeight="1" x14ac:dyDescent="0.25">
      <c r="A366" s="34" t="s">
        <v>338</v>
      </c>
      <c r="B366" s="102"/>
      <c r="C366" s="36">
        <v>3200</v>
      </c>
      <c r="D366" s="31">
        <v>0</v>
      </c>
      <c r="E366" s="30">
        <f t="shared" si="62"/>
        <v>3200</v>
      </c>
      <c r="F366" s="30">
        <v>0</v>
      </c>
      <c r="G366" s="30">
        <v>0</v>
      </c>
      <c r="H366" s="32">
        <f t="shared" si="63"/>
        <v>3200</v>
      </c>
      <c r="I366" s="30">
        <v>0</v>
      </c>
      <c r="J366" s="30">
        <v>0</v>
      </c>
      <c r="K366" s="33">
        <f t="shared" si="59"/>
        <v>3200</v>
      </c>
    </row>
    <row r="367" spans="1:11" ht="16.5" customHeight="1" x14ac:dyDescent="0.25">
      <c r="A367" s="34" t="s">
        <v>339</v>
      </c>
      <c r="B367" s="102"/>
      <c r="C367" s="36">
        <v>0</v>
      </c>
      <c r="D367" s="31">
        <v>0</v>
      </c>
      <c r="E367" s="30">
        <f t="shared" si="62"/>
        <v>0</v>
      </c>
      <c r="F367" s="30">
        <v>0</v>
      </c>
      <c r="G367" s="30">
        <v>0</v>
      </c>
      <c r="H367" s="32">
        <f t="shared" si="63"/>
        <v>0</v>
      </c>
      <c r="I367" s="30">
        <v>0</v>
      </c>
      <c r="J367" s="30">
        <v>0</v>
      </c>
      <c r="K367" s="33">
        <f t="shared" si="59"/>
        <v>0</v>
      </c>
    </row>
    <row r="368" spans="1:11" ht="16.5" customHeight="1" x14ac:dyDescent="0.25">
      <c r="A368" s="34" t="s">
        <v>340</v>
      </c>
      <c r="B368" s="102"/>
      <c r="C368" s="36">
        <v>0</v>
      </c>
      <c r="D368" s="31">
        <v>0</v>
      </c>
      <c r="E368" s="30">
        <f t="shared" si="62"/>
        <v>0</v>
      </c>
      <c r="F368" s="30">
        <v>0</v>
      </c>
      <c r="G368" s="30">
        <v>0</v>
      </c>
      <c r="H368" s="32">
        <f t="shared" si="63"/>
        <v>0</v>
      </c>
      <c r="I368" s="30">
        <v>0</v>
      </c>
      <c r="J368" s="30">
        <v>0</v>
      </c>
      <c r="K368" s="33">
        <f t="shared" si="59"/>
        <v>0</v>
      </c>
    </row>
    <row r="369" spans="1:11" ht="15" customHeight="1" x14ac:dyDescent="0.25">
      <c r="A369" s="34" t="s">
        <v>341</v>
      </c>
      <c r="B369" s="102"/>
      <c r="C369" s="36">
        <v>600000</v>
      </c>
      <c r="D369" s="31">
        <v>0</v>
      </c>
      <c r="E369" s="30">
        <f t="shared" si="62"/>
        <v>600000</v>
      </c>
      <c r="F369" s="30">
        <v>0</v>
      </c>
      <c r="G369" s="30">
        <v>0</v>
      </c>
      <c r="H369" s="32">
        <f t="shared" si="63"/>
        <v>600000</v>
      </c>
      <c r="I369" s="30">
        <v>-600000</v>
      </c>
      <c r="J369" s="30">
        <v>0</v>
      </c>
      <c r="K369" s="33">
        <f>SUM(H369:J369)</f>
        <v>0</v>
      </c>
    </row>
    <row r="370" spans="1:11" ht="17.25" customHeight="1" thickBot="1" x14ac:dyDescent="0.3">
      <c r="A370" s="37" t="s">
        <v>342</v>
      </c>
      <c r="B370" s="106"/>
      <c r="C370" s="39">
        <v>38776</v>
      </c>
      <c r="D370" s="128">
        <v>0</v>
      </c>
      <c r="E370" s="39">
        <f t="shared" si="62"/>
        <v>38776</v>
      </c>
      <c r="F370" s="39">
        <v>0</v>
      </c>
      <c r="G370" s="39">
        <v>0</v>
      </c>
      <c r="H370" s="141">
        <f t="shared" si="63"/>
        <v>38776</v>
      </c>
      <c r="I370" s="39">
        <v>0</v>
      </c>
      <c r="J370" s="39">
        <v>0</v>
      </c>
      <c r="K370" s="145">
        <f t="shared" si="59"/>
        <v>38776</v>
      </c>
    </row>
    <row r="371" spans="1:11" ht="31.5" customHeight="1" thickBot="1" x14ac:dyDescent="0.3">
      <c r="A371" s="52" t="s">
        <v>343</v>
      </c>
      <c r="B371" s="188"/>
      <c r="C371" s="76">
        <f t="shared" ref="C371" si="64">SUM(C363:C370)</f>
        <v>651326</v>
      </c>
      <c r="D371" s="77">
        <f>SUM(D363:D370)</f>
        <v>0</v>
      </c>
      <c r="E371" s="76">
        <f>SUM(C371:D371)</f>
        <v>651326</v>
      </c>
      <c r="F371" s="76">
        <f>SUM(F363:F370)</f>
        <v>0</v>
      </c>
      <c r="G371" s="76">
        <f>SUM(G363:G370)</f>
        <v>0</v>
      </c>
      <c r="H371" s="78">
        <f>SUM(H363:H370)</f>
        <v>651326</v>
      </c>
      <c r="I371" s="76">
        <f>SUM(I363:I370)</f>
        <v>-600000</v>
      </c>
      <c r="J371" s="76">
        <f>SUM(J363:J370)</f>
        <v>0</v>
      </c>
      <c r="K371" s="79">
        <f t="shared" si="59"/>
        <v>51326</v>
      </c>
    </row>
    <row r="372" spans="1:11" ht="19.5" customHeight="1" thickBot="1" x14ac:dyDescent="0.3">
      <c r="A372" s="80" t="s">
        <v>344</v>
      </c>
      <c r="B372" s="177"/>
      <c r="C372" s="178">
        <f>C360+C371</f>
        <v>2274504.85</v>
      </c>
      <c r="D372" s="179">
        <f>D360+D371</f>
        <v>9468.98</v>
      </c>
      <c r="E372" s="178">
        <f>SUM(C372:D372)</f>
        <v>2283973.83</v>
      </c>
      <c r="F372" s="178">
        <f>F360+F371</f>
        <v>216501.92</v>
      </c>
      <c r="G372" s="178">
        <f>SUM(G360+G371)</f>
        <v>67708.3</v>
      </c>
      <c r="H372" s="180">
        <f>H360+H371</f>
        <v>2573565.59</v>
      </c>
      <c r="I372" s="178">
        <f>I360+I371</f>
        <v>-551616.29</v>
      </c>
      <c r="J372" s="178">
        <f>SUM(J360+J371)</f>
        <v>9390.5499999999975</v>
      </c>
      <c r="K372" s="85">
        <f t="shared" si="59"/>
        <v>2031339.8499999999</v>
      </c>
    </row>
    <row r="373" spans="1:11" ht="13.5" customHeight="1" thickBot="1" x14ac:dyDescent="0.3">
      <c r="A373" s="20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7"/>
    </row>
    <row r="374" spans="1:11" ht="30.75" thickBot="1" x14ac:dyDescent="0.3">
      <c r="A374" s="52" t="s">
        <v>345</v>
      </c>
      <c r="B374" s="208"/>
      <c r="C374" s="54"/>
      <c r="D374" s="55"/>
      <c r="E374" s="54"/>
      <c r="F374" s="54"/>
      <c r="G374" s="54"/>
      <c r="H374" s="56"/>
      <c r="I374" s="54"/>
      <c r="J374" s="54"/>
      <c r="K374" s="57"/>
    </row>
    <row r="375" spans="1:11" ht="20.25" customHeight="1" thickBot="1" x14ac:dyDescent="0.3">
      <c r="A375" s="181" t="s">
        <v>346</v>
      </c>
      <c r="B375" s="182"/>
      <c r="C375" s="183" t="s">
        <v>347</v>
      </c>
      <c r="D375" s="184">
        <v>0</v>
      </c>
      <c r="E375" s="183">
        <f>SUM(C375:D375)</f>
        <v>0</v>
      </c>
      <c r="F375" s="183">
        <v>0</v>
      </c>
      <c r="G375" s="183">
        <v>0</v>
      </c>
      <c r="H375" s="185" t="s">
        <v>347</v>
      </c>
      <c r="I375" s="186">
        <v>0</v>
      </c>
      <c r="J375" s="186">
        <v>0</v>
      </c>
      <c r="K375" s="187">
        <f>SUM(H375:J375)</f>
        <v>0</v>
      </c>
    </row>
    <row r="376" spans="1:11" ht="30.75" thickBot="1" x14ac:dyDescent="0.3">
      <c r="A376" s="52" t="s">
        <v>355</v>
      </c>
      <c r="B376" s="188"/>
      <c r="C376" s="189">
        <f>SUM(C375)</f>
        <v>0</v>
      </c>
      <c r="D376" s="190">
        <f t="shared" ref="D376:H376" si="65">SUM(D375)</f>
        <v>0</v>
      </c>
      <c r="E376" s="189">
        <f t="shared" si="65"/>
        <v>0</v>
      </c>
      <c r="F376" s="189">
        <f t="shared" si="65"/>
        <v>0</v>
      </c>
      <c r="G376" s="189">
        <f t="shared" si="65"/>
        <v>0</v>
      </c>
      <c r="H376" s="189">
        <f t="shared" si="65"/>
        <v>0</v>
      </c>
      <c r="I376" s="189">
        <f>SUM(I375)</f>
        <v>0</v>
      </c>
      <c r="J376" s="189">
        <f>SUM(J375)</f>
        <v>0</v>
      </c>
      <c r="K376" s="209">
        <f t="shared" si="59"/>
        <v>0</v>
      </c>
    </row>
    <row r="377" spans="1:11" x14ac:dyDescent="0.25">
      <c r="D377" s="191"/>
      <c r="E377" s="192"/>
    </row>
  </sheetData>
  <sheetProtection algorithmName="SHA-512" hashValue="GkKlMMMYzcUUiJ20CEXod/af3Dt6YIJ195OUGSA0pSHJGLkkc3q1Q4OGvybZfN4aM3BlM6gW4qEXoezxbPsaVA==" saltValue="1RPa/Yiezxa6ve2zORgyPQ==" spinCount="100000" sheet="1" objects="1" scenarios="1"/>
  <pageMargins left="0.6692913385826772" right="0.6692913385826772" top="0.9055118110236221" bottom="0.78740157480314965" header="0.31496062992125984" footer="0.31496062992125984"/>
  <pageSetup paperSize="9" orientation="landscape" r:id="rId1"/>
  <headerFooter>
    <oddHeader xml:space="preserve">&amp;L&amp;"-,Tučné"Statutární město
Frýdek-Místek&amp;C&amp;"-,Tučné" Závazné ukazatele rozpočtu roku 2022 po 2. změně a po RO RM č. 1 - 117 
&amp;"-,Obyčejné"Zpracovala: Ing. Pavla Homolková, Finanční odbor
&amp;RStrana &amp;P
celkem 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 po 2. změně a RO RM 1-117</vt:lpstr>
      <vt:lpstr>'ZU po 2. změně a RO RM 1-117'!Názvy_tisku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OBORNÁ</dc:creator>
  <cp:lastModifiedBy>Ilona OBORNÁ</cp:lastModifiedBy>
  <cp:lastPrinted>2022-09-02T11:54:21Z</cp:lastPrinted>
  <dcterms:created xsi:type="dcterms:W3CDTF">2022-08-18T11:24:11Z</dcterms:created>
  <dcterms:modified xsi:type="dcterms:W3CDTF">2022-09-02T11:55:17Z</dcterms:modified>
</cp:coreProperties>
</file>