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1454\Documents\Dokumenty\Závazné ukazatele\Záv. ukazatele 2022\"/>
    </mc:Choice>
  </mc:AlternateContent>
  <workbookProtection workbookAlgorithmName="SHA-512" workbookHashValue="vhRsAa714Lc1HTAdUlnLug0dWiwsg2UTlu1NPLqBQKEYdctrFofP078JaDa/pqX+BhCn6MInVzDpHAR3iqbRNg==" workbookSaltValue="gQN/QTOYZ+ZfHz0xE3D27w==" workbookSpinCount="100000" lockStructure="1"/>
  <bookViews>
    <workbookView xWindow="0" yWindow="0" windowWidth="28800" windowHeight="12435"/>
  </bookViews>
  <sheets>
    <sheet name="ZU po 3. změně a RO RM 1-147" sheetId="1" r:id="rId1"/>
  </sheets>
  <definedNames>
    <definedName name="__DdeLink__9289_5144441" localSheetId="0">'ZU po 3. změně a RO RM 1-147'!#REF!</definedName>
    <definedName name="_xlnm.Print_Titles" localSheetId="0">'ZU po 3. změně a RO RM 1-147'!$1:$2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8" i="1" l="1"/>
  <c r="M326" i="1"/>
  <c r="M285" i="1"/>
  <c r="M217" i="1"/>
  <c r="M213" i="1"/>
  <c r="M215" i="1"/>
  <c r="M211" i="1"/>
  <c r="M207" i="1"/>
  <c r="N136" i="1"/>
  <c r="M136" i="1"/>
  <c r="N127" i="1"/>
  <c r="M127" i="1"/>
  <c r="N90" i="1"/>
  <c r="M90" i="1"/>
  <c r="N104" i="1"/>
  <c r="M104" i="1"/>
  <c r="N113" i="1"/>
  <c r="M113" i="1"/>
  <c r="N100" i="1"/>
  <c r="M100" i="1"/>
  <c r="N95" i="1"/>
  <c r="M95" i="1"/>
  <c r="N91" i="1"/>
  <c r="M73" i="1"/>
  <c r="M55" i="1"/>
  <c r="M8" i="1"/>
  <c r="M6" i="1"/>
  <c r="J411" i="1" l="1"/>
  <c r="I411" i="1"/>
  <c r="H411" i="1"/>
  <c r="K411" i="1" s="1"/>
  <c r="N411" i="1" s="1"/>
  <c r="G411" i="1"/>
  <c r="F411" i="1"/>
  <c r="D411" i="1"/>
  <c r="C411" i="1"/>
  <c r="K410" i="1"/>
  <c r="N410" i="1" s="1"/>
  <c r="E410" i="1"/>
  <c r="E411" i="1" s="1"/>
  <c r="M406" i="1"/>
  <c r="L406" i="1"/>
  <c r="J406" i="1"/>
  <c r="I406" i="1"/>
  <c r="G406" i="1"/>
  <c r="F406" i="1"/>
  <c r="D406" i="1"/>
  <c r="C406" i="1"/>
  <c r="E406" i="1" s="1"/>
  <c r="E405" i="1"/>
  <c r="H405" i="1" s="1"/>
  <c r="K405" i="1" s="1"/>
  <c r="N405" i="1" s="1"/>
  <c r="E404" i="1"/>
  <c r="H404" i="1" s="1"/>
  <c r="K404" i="1" s="1"/>
  <c r="N404" i="1" s="1"/>
  <c r="E403" i="1"/>
  <c r="H403" i="1" s="1"/>
  <c r="K403" i="1" s="1"/>
  <c r="N403" i="1" s="1"/>
  <c r="E402" i="1"/>
  <c r="H402" i="1" s="1"/>
  <c r="K402" i="1" s="1"/>
  <c r="N402" i="1" s="1"/>
  <c r="E401" i="1"/>
  <c r="H401" i="1" s="1"/>
  <c r="K401" i="1" s="1"/>
  <c r="N401" i="1" s="1"/>
  <c r="E400" i="1"/>
  <c r="H400" i="1" s="1"/>
  <c r="K400" i="1" s="1"/>
  <c r="N400" i="1" s="1"/>
  <c r="E399" i="1"/>
  <c r="H399" i="1" s="1"/>
  <c r="K399" i="1" s="1"/>
  <c r="N399" i="1" s="1"/>
  <c r="E398" i="1"/>
  <c r="H398" i="1" s="1"/>
  <c r="E393" i="1"/>
  <c r="H393" i="1" s="1"/>
  <c r="K393" i="1" s="1"/>
  <c r="N393" i="1" s="1"/>
  <c r="M392" i="1"/>
  <c r="J392" i="1"/>
  <c r="G392" i="1"/>
  <c r="E392" i="1"/>
  <c r="H392" i="1" s="1"/>
  <c r="K392" i="1" s="1"/>
  <c r="N392" i="1" s="1"/>
  <c r="E391" i="1"/>
  <c r="H391" i="1" s="1"/>
  <c r="M389" i="1"/>
  <c r="L389" i="1"/>
  <c r="J389" i="1"/>
  <c r="I389" i="1"/>
  <c r="G389" i="1"/>
  <c r="F389" i="1"/>
  <c r="D389" i="1"/>
  <c r="C389" i="1"/>
  <c r="E389" i="1" s="1"/>
  <c r="J388" i="1"/>
  <c r="G388" i="1"/>
  <c r="E388" i="1"/>
  <c r="H388" i="1" s="1"/>
  <c r="D388" i="1"/>
  <c r="H387" i="1"/>
  <c r="K387" i="1" s="1"/>
  <c r="E387" i="1"/>
  <c r="M385" i="1"/>
  <c r="L385" i="1"/>
  <c r="J385" i="1"/>
  <c r="I385" i="1"/>
  <c r="G385" i="1"/>
  <c r="F385" i="1"/>
  <c r="D385" i="1"/>
  <c r="C385" i="1"/>
  <c r="E385" i="1" s="1"/>
  <c r="H384" i="1"/>
  <c r="K384" i="1" s="1"/>
  <c r="N384" i="1" s="1"/>
  <c r="E384" i="1"/>
  <c r="H383" i="1"/>
  <c r="K383" i="1" s="1"/>
  <c r="E383" i="1"/>
  <c r="M381" i="1"/>
  <c r="L381" i="1"/>
  <c r="J381" i="1"/>
  <c r="I381" i="1"/>
  <c r="H381" i="1"/>
  <c r="G381" i="1"/>
  <c r="F381" i="1"/>
  <c r="D381" i="1"/>
  <c r="C381" i="1"/>
  <c r="E381" i="1" s="1"/>
  <c r="H380" i="1"/>
  <c r="K380" i="1" s="1"/>
  <c r="N380" i="1" s="1"/>
  <c r="E380" i="1"/>
  <c r="K379" i="1"/>
  <c r="N379" i="1" s="1"/>
  <c r="H378" i="1"/>
  <c r="K378" i="1" s="1"/>
  <c r="N378" i="1" s="1"/>
  <c r="M377" i="1"/>
  <c r="G377" i="1"/>
  <c r="E377" i="1"/>
  <c r="H377" i="1" s="1"/>
  <c r="K377" i="1" s="1"/>
  <c r="N377" i="1" s="1"/>
  <c r="M376" i="1"/>
  <c r="J376" i="1"/>
  <c r="G376" i="1"/>
  <c r="E376" i="1"/>
  <c r="H376" i="1" s="1"/>
  <c r="K376" i="1" s="1"/>
  <c r="N376" i="1" s="1"/>
  <c r="L375" i="1"/>
  <c r="E375" i="1"/>
  <c r="H375" i="1" s="1"/>
  <c r="K375" i="1" s="1"/>
  <c r="N375" i="1" s="1"/>
  <c r="E374" i="1"/>
  <c r="H374" i="1" s="1"/>
  <c r="M372" i="1"/>
  <c r="L372" i="1"/>
  <c r="J372" i="1"/>
  <c r="I372" i="1"/>
  <c r="G372" i="1"/>
  <c r="F372" i="1"/>
  <c r="D372" i="1"/>
  <c r="C372" i="1"/>
  <c r="E372" i="1" s="1"/>
  <c r="E371" i="1"/>
  <c r="H371" i="1" s="1"/>
  <c r="K371" i="1" s="1"/>
  <c r="N371" i="1" s="1"/>
  <c r="E370" i="1"/>
  <c r="H370" i="1" s="1"/>
  <c r="K370" i="1" s="1"/>
  <c r="N370" i="1" s="1"/>
  <c r="E369" i="1"/>
  <c r="H369" i="1" s="1"/>
  <c r="K369" i="1" s="1"/>
  <c r="N369" i="1" s="1"/>
  <c r="M368" i="1"/>
  <c r="L368" i="1"/>
  <c r="J368" i="1"/>
  <c r="G368" i="1"/>
  <c r="E368" i="1"/>
  <c r="H368" i="1" s="1"/>
  <c r="K368" i="1" s="1"/>
  <c r="N368" i="1" s="1"/>
  <c r="D368" i="1"/>
  <c r="M367" i="1"/>
  <c r="E367" i="1"/>
  <c r="H367" i="1" s="1"/>
  <c r="D367" i="1"/>
  <c r="M365" i="1"/>
  <c r="L365" i="1"/>
  <c r="J365" i="1"/>
  <c r="I365" i="1"/>
  <c r="G365" i="1"/>
  <c r="F365" i="1"/>
  <c r="D365" i="1"/>
  <c r="C365" i="1"/>
  <c r="E365" i="1" s="1"/>
  <c r="H364" i="1"/>
  <c r="K364" i="1" s="1"/>
  <c r="N364" i="1" s="1"/>
  <c r="E364" i="1"/>
  <c r="H363" i="1"/>
  <c r="K363" i="1" s="1"/>
  <c r="N363" i="1" s="1"/>
  <c r="E363" i="1"/>
  <c r="H362" i="1"/>
  <c r="K362" i="1" s="1"/>
  <c r="E362" i="1"/>
  <c r="M360" i="1"/>
  <c r="L360" i="1"/>
  <c r="J360" i="1"/>
  <c r="I360" i="1"/>
  <c r="H360" i="1"/>
  <c r="G360" i="1"/>
  <c r="F360" i="1"/>
  <c r="D360" i="1"/>
  <c r="C360" i="1"/>
  <c r="E360" i="1" s="1"/>
  <c r="H359" i="1"/>
  <c r="K359" i="1" s="1"/>
  <c r="N359" i="1" s="1"/>
  <c r="E359" i="1"/>
  <c r="H358" i="1"/>
  <c r="K358" i="1" s="1"/>
  <c r="E358" i="1"/>
  <c r="M356" i="1"/>
  <c r="L356" i="1"/>
  <c r="J356" i="1"/>
  <c r="I356" i="1"/>
  <c r="H356" i="1"/>
  <c r="G356" i="1"/>
  <c r="F356" i="1"/>
  <c r="D356" i="1"/>
  <c r="C356" i="1"/>
  <c r="E356" i="1" s="1"/>
  <c r="H355" i="1"/>
  <c r="K355" i="1" s="1"/>
  <c r="N355" i="1" s="1"/>
  <c r="E355" i="1"/>
  <c r="H354" i="1"/>
  <c r="K354" i="1" s="1"/>
  <c r="N354" i="1" s="1"/>
  <c r="E354" i="1"/>
  <c r="E353" i="1"/>
  <c r="H353" i="1" s="1"/>
  <c r="K353" i="1" s="1"/>
  <c r="N353" i="1" s="1"/>
  <c r="G352" i="1"/>
  <c r="E352" i="1"/>
  <c r="H352" i="1" s="1"/>
  <c r="K352" i="1" s="1"/>
  <c r="N352" i="1" s="1"/>
  <c r="H351" i="1"/>
  <c r="K351" i="1" s="1"/>
  <c r="E351" i="1"/>
  <c r="M349" i="1"/>
  <c r="L349" i="1"/>
  <c r="J349" i="1"/>
  <c r="I349" i="1"/>
  <c r="H349" i="1"/>
  <c r="G349" i="1"/>
  <c r="F349" i="1"/>
  <c r="D349" i="1"/>
  <c r="C349" i="1"/>
  <c r="E349" i="1" s="1"/>
  <c r="H348" i="1"/>
  <c r="K348" i="1" s="1"/>
  <c r="N348" i="1" s="1"/>
  <c r="E348" i="1"/>
  <c r="M347" i="1"/>
  <c r="J347" i="1"/>
  <c r="G347" i="1"/>
  <c r="E347" i="1"/>
  <c r="H347" i="1" s="1"/>
  <c r="K347" i="1" s="1"/>
  <c r="N347" i="1" s="1"/>
  <c r="E346" i="1"/>
  <c r="H346" i="1" s="1"/>
  <c r="M344" i="1"/>
  <c r="L344" i="1"/>
  <c r="J344" i="1"/>
  <c r="I344" i="1"/>
  <c r="G344" i="1"/>
  <c r="F344" i="1"/>
  <c r="D344" i="1"/>
  <c r="C344" i="1"/>
  <c r="E344" i="1" s="1"/>
  <c r="E343" i="1"/>
  <c r="H343" i="1" s="1"/>
  <c r="K343" i="1" s="1"/>
  <c r="N343" i="1" s="1"/>
  <c r="K342" i="1"/>
  <c r="N342" i="1" s="1"/>
  <c r="H342" i="1"/>
  <c r="H341" i="1"/>
  <c r="K341" i="1" s="1"/>
  <c r="N341" i="1" s="1"/>
  <c r="K340" i="1"/>
  <c r="N340" i="1" s="1"/>
  <c r="H339" i="1"/>
  <c r="K339" i="1" s="1"/>
  <c r="N339" i="1" s="1"/>
  <c r="H338" i="1"/>
  <c r="K338" i="1" s="1"/>
  <c r="N338" i="1" s="1"/>
  <c r="L337" i="1"/>
  <c r="N337" i="1" s="1"/>
  <c r="L336" i="1"/>
  <c r="N336" i="1" s="1"/>
  <c r="G335" i="1"/>
  <c r="E335" i="1"/>
  <c r="H335" i="1" s="1"/>
  <c r="D335" i="1"/>
  <c r="H334" i="1"/>
  <c r="K334" i="1" s="1"/>
  <c r="E334" i="1"/>
  <c r="M332" i="1"/>
  <c r="L332" i="1"/>
  <c r="J332" i="1"/>
  <c r="I332" i="1"/>
  <c r="G332" i="1"/>
  <c r="F332" i="1"/>
  <c r="D332" i="1"/>
  <c r="C332" i="1"/>
  <c r="E332" i="1" s="1"/>
  <c r="H331" i="1"/>
  <c r="K331" i="1" s="1"/>
  <c r="N331" i="1" s="1"/>
  <c r="E331" i="1"/>
  <c r="H330" i="1"/>
  <c r="K330" i="1" s="1"/>
  <c r="E330" i="1"/>
  <c r="M328" i="1"/>
  <c r="L328" i="1"/>
  <c r="J328" i="1"/>
  <c r="I328" i="1"/>
  <c r="H328" i="1"/>
  <c r="G328" i="1"/>
  <c r="F328" i="1"/>
  <c r="D328" i="1"/>
  <c r="C328" i="1"/>
  <c r="E328" i="1" s="1"/>
  <c r="L327" i="1"/>
  <c r="E327" i="1"/>
  <c r="H327" i="1" s="1"/>
  <c r="K327" i="1" s="1"/>
  <c r="N327" i="1" s="1"/>
  <c r="D327" i="1"/>
  <c r="L326" i="1"/>
  <c r="J326" i="1"/>
  <c r="G326" i="1"/>
  <c r="D326" i="1"/>
  <c r="E326" i="1" s="1"/>
  <c r="H326" i="1" s="1"/>
  <c r="K326" i="1" s="1"/>
  <c r="N326" i="1" s="1"/>
  <c r="E325" i="1"/>
  <c r="H325" i="1" s="1"/>
  <c r="M323" i="1"/>
  <c r="L323" i="1"/>
  <c r="J323" i="1"/>
  <c r="I323" i="1"/>
  <c r="G323" i="1"/>
  <c r="F323" i="1"/>
  <c r="D323" i="1"/>
  <c r="C323" i="1"/>
  <c r="E323" i="1" s="1"/>
  <c r="E322" i="1"/>
  <c r="H322" i="1" s="1"/>
  <c r="K322" i="1" s="1"/>
  <c r="N322" i="1" s="1"/>
  <c r="K321" i="1"/>
  <c r="N321" i="1" s="1"/>
  <c r="H321" i="1"/>
  <c r="M320" i="1"/>
  <c r="K320" i="1"/>
  <c r="N320" i="1" s="1"/>
  <c r="H320" i="1"/>
  <c r="J319" i="1"/>
  <c r="E319" i="1"/>
  <c r="H319" i="1" s="1"/>
  <c r="K319" i="1" s="1"/>
  <c r="N319" i="1" s="1"/>
  <c r="J318" i="1"/>
  <c r="H318" i="1"/>
  <c r="K318" i="1" s="1"/>
  <c r="N318" i="1" s="1"/>
  <c r="E318" i="1"/>
  <c r="J317" i="1"/>
  <c r="G317" i="1"/>
  <c r="E317" i="1"/>
  <c r="H317" i="1" s="1"/>
  <c r="K317" i="1" s="1"/>
  <c r="N317" i="1" s="1"/>
  <c r="M316" i="1"/>
  <c r="J316" i="1"/>
  <c r="H316" i="1"/>
  <c r="K316" i="1" s="1"/>
  <c r="N316" i="1" s="1"/>
  <c r="E316" i="1"/>
  <c r="M315" i="1"/>
  <c r="G315" i="1"/>
  <c r="E315" i="1"/>
  <c r="H315" i="1" s="1"/>
  <c r="N314" i="1"/>
  <c r="L314" i="1"/>
  <c r="M312" i="1"/>
  <c r="L312" i="1"/>
  <c r="J312" i="1"/>
  <c r="I312" i="1"/>
  <c r="G312" i="1"/>
  <c r="F312" i="1"/>
  <c r="D312" i="1"/>
  <c r="C312" i="1"/>
  <c r="E312" i="1" s="1"/>
  <c r="H311" i="1"/>
  <c r="K311" i="1" s="1"/>
  <c r="N311" i="1" s="1"/>
  <c r="E311" i="1"/>
  <c r="L310" i="1"/>
  <c r="J310" i="1"/>
  <c r="H310" i="1"/>
  <c r="K310" i="1" s="1"/>
  <c r="N310" i="1" s="1"/>
  <c r="E310" i="1"/>
  <c r="H309" i="1"/>
  <c r="K309" i="1" s="1"/>
  <c r="N309" i="1" s="1"/>
  <c r="E309" i="1"/>
  <c r="H308" i="1"/>
  <c r="K308" i="1" s="1"/>
  <c r="E308" i="1"/>
  <c r="M306" i="1"/>
  <c r="L306" i="1"/>
  <c r="J306" i="1"/>
  <c r="I306" i="1"/>
  <c r="H306" i="1"/>
  <c r="G306" i="1"/>
  <c r="F306" i="1"/>
  <c r="D306" i="1"/>
  <c r="C306" i="1"/>
  <c r="E306" i="1" s="1"/>
  <c r="H305" i="1"/>
  <c r="K305" i="1" s="1"/>
  <c r="N305" i="1" s="1"/>
  <c r="E305" i="1"/>
  <c r="H304" i="1"/>
  <c r="K304" i="1" s="1"/>
  <c r="E304" i="1"/>
  <c r="M302" i="1"/>
  <c r="M394" i="1" s="1"/>
  <c r="L302" i="1"/>
  <c r="L394" i="1" s="1"/>
  <c r="J302" i="1"/>
  <c r="J394" i="1" s="1"/>
  <c r="I302" i="1"/>
  <c r="I394" i="1" s="1"/>
  <c r="H302" i="1"/>
  <c r="G302" i="1"/>
  <c r="G394" i="1" s="1"/>
  <c r="F302" i="1"/>
  <c r="F394" i="1" s="1"/>
  <c r="D302" i="1"/>
  <c r="D394" i="1" s="1"/>
  <c r="C302" i="1"/>
  <c r="C394" i="1" s="1"/>
  <c r="M298" i="1"/>
  <c r="L298" i="1"/>
  <c r="J298" i="1"/>
  <c r="G298" i="1"/>
  <c r="F298" i="1"/>
  <c r="E298" i="1"/>
  <c r="H298" i="1" s="1"/>
  <c r="K298" i="1" s="1"/>
  <c r="N298" i="1" s="1"/>
  <c r="K297" i="1"/>
  <c r="N297" i="1" s="1"/>
  <c r="L296" i="1"/>
  <c r="N296" i="1" s="1"/>
  <c r="G295" i="1"/>
  <c r="H295" i="1" s="1"/>
  <c r="K295" i="1" s="1"/>
  <c r="N295" i="1" s="1"/>
  <c r="L294" i="1"/>
  <c r="N294" i="1" s="1"/>
  <c r="K293" i="1"/>
  <c r="N293" i="1" s="1"/>
  <c r="J293" i="1"/>
  <c r="N292" i="1"/>
  <c r="L292" i="1"/>
  <c r="H291" i="1"/>
  <c r="K291" i="1" s="1"/>
  <c r="N291" i="1" s="1"/>
  <c r="E291" i="1"/>
  <c r="H290" i="1"/>
  <c r="K290" i="1" s="1"/>
  <c r="N290" i="1" s="1"/>
  <c r="E290" i="1"/>
  <c r="N289" i="1"/>
  <c r="L289" i="1"/>
  <c r="M288" i="1"/>
  <c r="J288" i="1"/>
  <c r="G288" i="1"/>
  <c r="E288" i="1"/>
  <c r="H288" i="1" s="1"/>
  <c r="M286" i="1"/>
  <c r="J286" i="1"/>
  <c r="I286" i="1"/>
  <c r="G286" i="1"/>
  <c r="F286" i="1"/>
  <c r="D286" i="1"/>
  <c r="C286" i="1"/>
  <c r="E286" i="1" s="1"/>
  <c r="J285" i="1"/>
  <c r="G285" i="1"/>
  <c r="E285" i="1"/>
  <c r="H285" i="1" s="1"/>
  <c r="K285" i="1" s="1"/>
  <c r="N285" i="1" s="1"/>
  <c r="D285" i="1"/>
  <c r="G284" i="1"/>
  <c r="E284" i="1"/>
  <c r="H284" i="1" s="1"/>
  <c r="K284" i="1" s="1"/>
  <c r="N284" i="1" s="1"/>
  <c r="G283" i="1"/>
  <c r="G281" i="1" s="1"/>
  <c r="E283" i="1"/>
  <c r="H283" i="1" s="1"/>
  <c r="M281" i="1"/>
  <c r="L281" i="1"/>
  <c r="J281" i="1"/>
  <c r="I281" i="1"/>
  <c r="F281" i="1"/>
  <c r="D281" i="1"/>
  <c r="C281" i="1"/>
  <c r="E281" i="1" s="1"/>
  <c r="H280" i="1"/>
  <c r="K280" i="1" s="1"/>
  <c r="N280" i="1" s="1"/>
  <c r="E280" i="1"/>
  <c r="N279" i="1"/>
  <c r="H279" i="1"/>
  <c r="K279" i="1" s="1"/>
  <c r="E279" i="1"/>
  <c r="H278" i="1"/>
  <c r="K278" i="1" s="1"/>
  <c r="K276" i="1" s="1"/>
  <c r="E278" i="1"/>
  <c r="M276" i="1"/>
  <c r="L276" i="1"/>
  <c r="N276" i="1" s="1"/>
  <c r="J276" i="1"/>
  <c r="I276" i="1"/>
  <c r="G276" i="1"/>
  <c r="F276" i="1"/>
  <c r="D276" i="1"/>
  <c r="C276" i="1"/>
  <c r="M275" i="1"/>
  <c r="L275" i="1"/>
  <c r="J275" i="1"/>
  <c r="G275" i="1"/>
  <c r="E275" i="1"/>
  <c r="N274" i="1"/>
  <c r="J274" i="1"/>
  <c r="K274" i="1" s="1"/>
  <c r="K273" i="1"/>
  <c r="N273" i="1" s="1"/>
  <c r="J273" i="1"/>
  <c r="J272" i="1"/>
  <c r="K272" i="1" s="1"/>
  <c r="N272" i="1" s="1"/>
  <c r="K271" i="1"/>
  <c r="N271" i="1" s="1"/>
  <c r="J271" i="1"/>
  <c r="H270" i="1"/>
  <c r="K270" i="1" s="1"/>
  <c r="N270" i="1" s="1"/>
  <c r="E270" i="1"/>
  <c r="H269" i="1"/>
  <c r="K269" i="1" s="1"/>
  <c r="N269" i="1" s="1"/>
  <c r="E269" i="1"/>
  <c r="H268" i="1"/>
  <c r="K268" i="1" s="1"/>
  <c r="N268" i="1" s="1"/>
  <c r="E268" i="1"/>
  <c r="H267" i="1"/>
  <c r="K267" i="1" s="1"/>
  <c r="N267" i="1" s="1"/>
  <c r="E267" i="1"/>
  <c r="H266" i="1"/>
  <c r="K266" i="1" s="1"/>
  <c r="N266" i="1" s="1"/>
  <c r="E266" i="1"/>
  <c r="H265" i="1"/>
  <c r="K265" i="1" s="1"/>
  <c r="N265" i="1" s="1"/>
  <c r="E265" i="1"/>
  <c r="H264" i="1"/>
  <c r="K264" i="1" s="1"/>
  <c r="N264" i="1" s="1"/>
  <c r="E264" i="1"/>
  <c r="H263" i="1"/>
  <c r="K263" i="1" s="1"/>
  <c r="N263" i="1" s="1"/>
  <c r="E263" i="1"/>
  <c r="H262" i="1"/>
  <c r="K262" i="1" s="1"/>
  <c r="N262" i="1" s="1"/>
  <c r="E262" i="1"/>
  <c r="H261" i="1"/>
  <c r="K261" i="1" s="1"/>
  <c r="N261" i="1" s="1"/>
  <c r="E261" i="1"/>
  <c r="J260" i="1"/>
  <c r="K260" i="1" s="1"/>
  <c r="N260" i="1" s="1"/>
  <c r="M259" i="1"/>
  <c r="N259" i="1" s="1"/>
  <c r="E258" i="1"/>
  <c r="H258" i="1" s="1"/>
  <c r="K258" i="1" s="1"/>
  <c r="N258" i="1" s="1"/>
  <c r="E257" i="1"/>
  <c r="H257" i="1" s="1"/>
  <c r="K257" i="1" s="1"/>
  <c r="N257" i="1" s="1"/>
  <c r="E256" i="1"/>
  <c r="H256" i="1" s="1"/>
  <c r="K256" i="1" s="1"/>
  <c r="N256" i="1" s="1"/>
  <c r="E255" i="1"/>
  <c r="H255" i="1" s="1"/>
  <c r="K255" i="1" s="1"/>
  <c r="N255" i="1" s="1"/>
  <c r="E254" i="1"/>
  <c r="H254" i="1" s="1"/>
  <c r="M252" i="1"/>
  <c r="L252" i="1"/>
  <c r="J252" i="1"/>
  <c r="I252" i="1"/>
  <c r="G252" i="1"/>
  <c r="F252" i="1"/>
  <c r="D252" i="1"/>
  <c r="C252" i="1"/>
  <c r="E252" i="1" s="1"/>
  <c r="M251" i="1"/>
  <c r="J251" i="1"/>
  <c r="G251" i="1"/>
  <c r="E251" i="1"/>
  <c r="H251" i="1" s="1"/>
  <c r="D251" i="1"/>
  <c r="H250" i="1"/>
  <c r="K250" i="1" s="1"/>
  <c r="E250" i="1"/>
  <c r="M248" i="1"/>
  <c r="L248" i="1"/>
  <c r="J248" i="1"/>
  <c r="I248" i="1"/>
  <c r="G248" i="1"/>
  <c r="F248" i="1"/>
  <c r="D248" i="1"/>
  <c r="C248" i="1"/>
  <c r="E248" i="1" s="1"/>
  <c r="M247" i="1"/>
  <c r="L247" i="1"/>
  <c r="G247" i="1"/>
  <c r="E247" i="1"/>
  <c r="H247" i="1" s="1"/>
  <c r="K247" i="1" s="1"/>
  <c r="N247" i="1" s="1"/>
  <c r="D247" i="1"/>
  <c r="N246" i="1"/>
  <c r="K246" i="1"/>
  <c r="H245" i="1"/>
  <c r="K245" i="1" s="1"/>
  <c r="N245" i="1" s="1"/>
  <c r="E244" i="1"/>
  <c r="H244" i="1" s="1"/>
  <c r="K244" i="1" s="1"/>
  <c r="N244" i="1" s="1"/>
  <c r="E243" i="1"/>
  <c r="H243" i="1" s="1"/>
  <c r="K243" i="1" s="1"/>
  <c r="N243" i="1" s="1"/>
  <c r="E242" i="1"/>
  <c r="H242" i="1" s="1"/>
  <c r="K242" i="1" s="1"/>
  <c r="N242" i="1" s="1"/>
  <c r="E241" i="1"/>
  <c r="H241" i="1" s="1"/>
  <c r="K241" i="1" s="1"/>
  <c r="N241" i="1" s="1"/>
  <c r="E240" i="1"/>
  <c r="H240" i="1" s="1"/>
  <c r="K240" i="1" s="1"/>
  <c r="N240" i="1" s="1"/>
  <c r="L239" i="1"/>
  <c r="N239" i="1" s="1"/>
  <c r="K238" i="1"/>
  <c r="N238" i="1" s="1"/>
  <c r="H238" i="1"/>
  <c r="H237" i="1"/>
  <c r="K237" i="1" s="1"/>
  <c r="N237" i="1" s="1"/>
  <c r="G236" i="1"/>
  <c r="H236" i="1" s="1"/>
  <c r="K236" i="1" s="1"/>
  <c r="N236" i="1" s="1"/>
  <c r="L235" i="1"/>
  <c r="H235" i="1"/>
  <c r="K235" i="1" s="1"/>
  <c r="N235" i="1" s="1"/>
  <c r="E235" i="1"/>
  <c r="H234" i="1"/>
  <c r="K234" i="1" s="1"/>
  <c r="N234" i="1" s="1"/>
  <c r="E234" i="1"/>
  <c r="H233" i="1"/>
  <c r="K233" i="1" s="1"/>
  <c r="N233" i="1" s="1"/>
  <c r="G233" i="1"/>
  <c r="H232" i="1"/>
  <c r="K232" i="1" s="1"/>
  <c r="N232" i="1" s="1"/>
  <c r="G232" i="1"/>
  <c r="H231" i="1"/>
  <c r="K231" i="1" s="1"/>
  <c r="N231" i="1" s="1"/>
  <c r="E231" i="1"/>
  <c r="G230" i="1"/>
  <c r="E230" i="1"/>
  <c r="H230" i="1" s="1"/>
  <c r="K230" i="1" s="1"/>
  <c r="N230" i="1" s="1"/>
  <c r="L229" i="1"/>
  <c r="H229" i="1"/>
  <c r="K229" i="1" s="1"/>
  <c r="N229" i="1" s="1"/>
  <c r="E229" i="1"/>
  <c r="N228" i="1"/>
  <c r="M228" i="1"/>
  <c r="H227" i="1"/>
  <c r="K227" i="1" s="1"/>
  <c r="N227" i="1" s="1"/>
  <c r="E227" i="1"/>
  <c r="H226" i="1"/>
  <c r="K226" i="1" s="1"/>
  <c r="N226" i="1" s="1"/>
  <c r="E226" i="1"/>
  <c r="N225" i="1"/>
  <c r="M225" i="1"/>
  <c r="H224" i="1"/>
  <c r="K224" i="1" s="1"/>
  <c r="N224" i="1" s="1"/>
  <c r="E224" i="1"/>
  <c r="H223" i="1"/>
  <c r="K223" i="1" s="1"/>
  <c r="N223" i="1" s="1"/>
  <c r="E223" i="1"/>
  <c r="H222" i="1"/>
  <c r="K222" i="1" s="1"/>
  <c r="N222" i="1" s="1"/>
  <c r="E222" i="1"/>
  <c r="H221" i="1"/>
  <c r="K221" i="1" s="1"/>
  <c r="N221" i="1" s="1"/>
  <c r="E221" i="1"/>
  <c r="H220" i="1"/>
  <c r="K220" i="1" s="1"/>
  <c r="N220" i="1" s="1"/>
  <c r="E220" i="1"/>
  <c r="H219" i="1"/>
  <c r="K219" i="1" s="1"/>
  <c r="N219" i="1" s="1"/>
  <c r="E219" i="1"/>
  <c r="H218" i="1"/>
  <c r="K218" i="1" s="1"/>
  <c r="N218" i="1" s="1"/>
  <c r="E218" i="1"/>
  <c r="H217" i="1"/>
  <c r="K217" i="1" s="1"/>
  <c r="N217" i="1" s="1"/>
  <c r="G217" i="1"/>
  <c r="H216" i="1"/>
  <c r="K216" i="1" s="1"/>
  <c r="N216" i="1" s="1"/>
  <c r="E216" i="1"/>
  <c r="H215" i="1"/>
  <c r="K215" i="1" s="1"/>
  <c r="N215" i="1" s="1"/>
  <c r="E214" i="1"/>
  <c r="H214" i="1" s="1"/>
  <c r="K214" i="1" s="1"/>
  <c r="N214" i="1" s="1"/>
  <c r="G213" i="1"/>
  <c r="H213" i="1" s="1"/>
  <c r="K213" i="1" s="1"/>
  <c r="N213" i="1" s="1"/>
  <c r="L212" i="1"/>
  <c r="H212" i="1"/>
  <c r="K212" i="1" s="1"/>
  <c r="N212" i="1" s="1"/>
  <c r="E212" i="1"/>
  <c r="H211" i="1"/>
  <c r="K211" i="1" s="1"/>
  <c r="N211" i="1" s="1"/>
  <c r="G211" i="1"/>
  <c r="L210" i="1"/>
  <c r="E210" i="1"/>
  <c r="H210" i="1" s="1"/>
  <c r="K210" i="1" s="1"/>
  <c r="N210" i="1" s="1"/>
  <c r="L209" i="1"/>
  <c r="H209" i="1"/>
  <c r="K209" i="1" s="1"/>
  <c r="N209" i="1" s="1"/>
  <c r="E209" i="1"/>
  <c r="H208" i="1"/>
  <c r="K208" i="1" s="1"/>
  <c r="N208" i="1" s="1"/>
  <c r="G207" i="1"/>
  <c r="H207" i="1" s="1"/>
  <c r="K207" i="1" s="1"/>
  <c r="N207" i="1" s="1"/>
  <c r="E206" i="1"/>
  <c r="H206" i="1" s="1"/>
  <c r="K206" i="1" s="1"/>
  <c r="N206" i="1" s="1"/>
  <c r="E205" i="1"/>
  <c r="H205" i="1" s="1"/>
  <c r="K205" i="1" s="1"/>
  <c r="N205" i="1" s="1"/>
  <c r="E204" i="1"/>
  <c r="H204" i="1" s="1"/>
  <c r="K204" i="1" s="1"/>
  <c r="N204" i="1" s="1"/>
  <c r="L203" i="1"/>
  <c r="H203" i="1"/>
  <c r="K203" i="1" s="1"/>
  <c r="N203" i="1" s="1"/>
  <c r="E203" i="1"/>
  <c r="L202" i="1"/>
  <c r="J202" i="1"/>
  <c r="G202" i="1"/>
  <c r="E202" i="1"/>
  <c r="H202" i="1" s="1"/>
  <c r="N201" i="1"/>
  <c r="M200" i="1"/>
  <c r="L200" i="1"/>
  <c r="J200" i="1"/>
  <c r="I200" i="1"/>
  <c r="G200" i="1"/>
  <c r="F200" i="1"/>
  <c r="D200" i="1"/>
  <c r="C200" i="1"/>
  <c r="E200" i="1" s="1"/>
  <c r="H199" i="1"/>
  <c r="K199" i="1" s="1"/>
  <c r="N199" i="1" s="1"/>
  <c r="E199" i="1"/>
  <c r="L198" i="1"/>
  <c r="G198" i="1"/>
  <c r="D198" i="1"/>
  <c r="E198" i="1" s="1"/>
  <c r="H198" i="1" s="1"/>
  <c r="N197" i="1"/>
  <c r="M196" i="1"/>
  <c r="L196" i="1"/>
  <c r="J196" i="1"/>
  <c r="I196" i="1"/>
  <c r="G196" i="1"/>
  <c r="F196" i="1"/>
  <c r="D196" i="1"/>
  <c r="C196" i="1"/>
  <c r="E196" i="1" s="1"/>
  <c r="L195" i="1"/>
  <c r="G195" i="1"/>
  <c r="E195" i="1"/>
  <c r="H195" i="1" s="1"/>
  <c r="K195" i="1" s="1"/>
  <c r="N195" i="1" s="1"/>
  <c r="E194" i="1"/>
  <c r="H194" i="1" s="1"/>
  <c r="K194" i="1" s="1"/>
  <c r="N194" i="1" s="1"/>
  <c r="H193" i="1"/>
  <c r="K193" i="1" s="1"/>
  <c r="N193" i="1" s="1"/>
  <c r="E193" i="1"/>
  <c r="H192" i="1"/>
  <c r="K192" i="1" s="1"/>
  <c r="N192" i="1" s="1"/>
  <c r="E192" i="1"/>
  <c r="H191" i="1"/>
  <c r="K191" i="1" s="1"/>
  <c r="N191" i="1" s="1"/>
  <c r="E191" i="1"/>
  <c r="H190" i="1"/>
  <c r="K190" i="1" s="1"/>
  <c r="N190" i="1" s="1"/>
  <c r="E190" i="1"/>
  <c r="L189" i="1"/>
  <c r="E189" i="1"/>
  <c r="H189" i="1" s="1"/>
  <c r="K189" i="1" s="1"/>
  <c r="N189" i="1" s="1"/>
  <c r="E188" i="1"/>
  <c r="H188" i="1" s="1"/>
  <c r="M186" i="1"/>
  <c r="L186" i="1"/>
  <c r="J186" i="1"/>
  <c r="I186" i="1"/>
  <c r="G186" i="1"/>
  <c r="F186" i="1"/>
  <c r="D186" i="1"/>
  <c r="C186" i="1"/>
  <c r="E186" i="1" s="1"/>
  <c r="E185" i="1"/>
  <c r="H185" i="1" s="1"/>
  <c r="K185" i="1" s="1"/>
  <c r="N185" i="1" s="1"/>
  <c r="E184" i="1"/>
  <c r="H184" i="1" s="1"/>
  <c r="K184" i="1" s="1"/>
  <c r="N184" i="1" s="1"/>
  <c r="E183" i="1"/>
  <c r="H183" i="1" s="1"/>
  <c r="K183" i="1" s="1"/>
  <c r="N183" i="1" s="1"/>
  <c r="E182" i="1"/>
  <c r="H182" i="1" s="1"/>
  <c r="K182" i="1" s="1"/>
  <c r="N182" i="1" s="1"/>
  <c r="E181" i="1"/>
  <c r="H181" i="1" s="1"/>
  <c r="K181" i="1" s="1"/>
  <c r="N181" i="1" s="1"/>
  <c r="E180" i="1"/>
  <c r="H180" i="1" s="1"/>
  <c r="K180" i="1" s="1"/>
  <c r="N180" i="1" s="1"/>
  <c r="G179" i="1"/>
  <c r="E179" i="1"/>
  <c r="H179" i="1" s="1"/>
  <c r="K179" i="1" s="1"/>
  <c r="N179" i="1" s="1"/>
  <c r="H178" i="1"/>
  <c r="K178" i="1" s="1"/>
  <c r="N178" i="1" s="1"/>
  <c r="E178" i="1"/>
  <c r="H177" i="1"/>
  <c r="K177" i="1" s="1"/>
  <c r="N177" i="1" s="1"/>
  <c r="E177" i="1"/>
  <c r="M176" i="1"/>
  <c r="L176" i="1"/>
  <c r="J176" i="1"/>
  <c r="G176" i="1"/>
  <c r="E176" i="1"/>
  <c r="H176" i="1" s="1"/>
  <c r="M174" i="1"/>
  <c r="L174" i="1"/>
  <c r="J174" i="1"/>
  <c r="I174" i="1"/>
  <c r="G174" i="1"/>
  <c r="F174" i="1"/>
  <c r="D174" i="1"/>
  <c r="C174" i="1"/>
  <c r="E174" i="1" s="1"/>
  <c r="L173" i="1"/>
  <c r="J173" i="1"/>
  <c r="G173" i="1"/>
  <c r="E173" i="1"/>
  <c r="H173" i="1" s="1"/>
  <c r="K173" i="1" s="1"/>
  <c r="N173" i="1" s="1"/>
  <c r="D173" i="1"/>
  <c r="D172" i="1"/>
  <c r="E172" i="1" s="1"/>
  <c r="H172" i="1" s="1"/>
  <c r="K172" i="1" s="1"/>
  <c r="N172" i="1" s="1"/>
  <c r="K171" i="1"/>
  <c r="N171" i="1" s="1"/>
  <c r="E170" i="1"/>
  <c r="H170" i="1" s="1"/>
  <c r="K170" i="1" s="1"/>
  <c r="N170" i="1" s="1"/>
  <c r="E169" i="1"/>
  <c r="H169" i="1" s="1"/>
  <c r="K169" i="1" s="1"/>
  <c r="N169" i="1" s="1"/>
  <c r="E168" i="1"/>
  <c r="H168" i="1" s="1"/>
  <c r="K168" i="1" s="1"/>
  <c r="N168" i="1" s="1"/>
  <c r="E167" i="1"/>
  <c r="H167" i="1" s="1"/>
  <c r="K167" i="1" s="1"/>
  <c r="N167" i="1" s="1"/>
  <c r="E166" i="1"/>
  <c r="H166" i="1" s="1"/>
  <c r="K166" i="1" s="1"/>
  <c r="N166" i="1" s="1"/>
  <c r="K165" i="1"/>
  <c r="N165" i="1" s="1"/>
  <c r="K164" i="1"/>
  <c r="N164" i="1" s="1"/>
  <c r="E163" i="1"/>
  <c r="H163" i="1" s="1"/>
  <c r="K163" i="1" s="1"/>
  <c r="N163" i="1" s="1"/>
  <c r="E162" i="1"/>
  <c r="H162" i="1" s="1"/>
  <c r="K162" i="1" s="1"/>
  <c r="N162" i="1" s="1"/>
  <c r="L161" i="1"/>
  <c r="N161" i="1" s="1"/>
  <c r="E160" i="1"/>
  <c r="H160" i="1" s="1"/>
  <c r="K160" i="1" s="1"/>
  <c r="N160" i="1" s="1"/>
  <c r="E159" i="1"/>
  <c r="H159" i="1" s="1"/>
  <c r="K159" i="1" s="1"/>
  <c r="N159" i="1" s="1"/>
  <c r="E158" i="1"/>
  <c r="H158" i="1" s="1"/>
  <c r="K158" i="1" s="1"/>
  <c r="N158" i="1" s="1"/>
  <c r="E157" i="1"/>
  <c r="H157" i="1" s="1"/>
  <c r="K157" i="1" s="1"/>
  <c r="N157" i="1" s="1"/>
  <c r="E156" i="1"/>
  <c r="H156" i="1" s="1"/>
  <c r="K156" i="1" s="1"/>
  <c r="N156" i="1" s="1"/>
  <c r="E155" i="1"/>
  <c r="H155" i="1" s="1"/>
  <c r="K155" i="1" s="1"/>
  <c r="N155" i="1" s="1"/>
  <c r="E154" i="1"/>
  <c r="H154" i="1" s="1"/>
  <c r="K154" i="1" s="1"/>
  <c r="N154" i="1" s="1"/>
  <c r="E153" i="1"/>
  <c r="H153" i="1" s="1"/>
  <c r="K153" i="1" s="1"/>
  <c r="N153" i="1" s="1"/>
  <c r="E152" i="1"/>
  <c r="H152" i="1" s="1"/>
  <c r="K152" i="1" s="1"/>
  <c r="N152" i="1" s="1"/>
  <c r="H151" i="1"/>
  <c r="K151" i="1" s="1"/>
  <c r="N151" i="1" s="1"/>
  <c r="H150" i="1"/>
  <c r="K150" i="1" s="1"/>
  <c r="N150" i="1" s="1"/>
  <c r="E149" i="1"/>
  <c r="H149" i="1" s="1"/>
  <c r="K149" i="1" s="1"/>
  <c r="N149" i="1" s="1"/>
  <c r="K148" i="1"/>
  <c r="N148" i="1" s="1"/>
  <c r="J148" i="1"/>
  <c r="N147" i="1"/>
  <c r="K147" i="1"/>
  <c r="H146" i="1"/>
  <c r="K146" i="1" s="1"/>
  <c r="N146" i="1" s="1"/>
  <c r="G146" i="1"/>
  <c r="E145" i="1"/>
  <c r="H145" i="1" s="1"/>
  <c r="K145" i="1" s="1"/>
  <c r="N145" i="1" s="1"/>
  <c r="E144" i="1"/>
  <c r="H144" i="1" s="1"/>
  <c r="K144" i="1" s="1"/>
  <c r="N144" i="1" s="1"/>
  <c r="N143" i="1"/>
  <c r="M143" i="1"/>
  <c r="N142" i="1"/>
  <c r="M142" i="1"/>
  <c r="N141" i="1"/>
  <c r="K141" i="1"/>
  <c r="H140" i="1"/>
  <c r="K140" i="1" s="1"/>
  <c r="N140" i="1" s="1"/>
  <c r="N139" i="1"/>
  <c r="L139" i="1"/>
  <c r="E138" i="1"/>
  <c r="H138" i="1" s="1"/>
  <c r="K138" i="1" s="1"/>
  <c r="N138" i="1" s="1"/>
  <c r="L137" i="1"/>
  <c r="E137" i="1"/>
  <c r="H137" i="1" s="1"/>
  <c r="K137" i="1" s="1"/>
  <c r="N137" i="1" s="1"/>
  <c r="J135" i="1"/>
  <c r="H135" i="1"/>
  <c r="K135" i="1" s="1"/>
  <c r="N135" i="1" s="1"/>
  <c r="E135" i="1"/>
  <c r="L134" i="1"/>
  <c r="E134" i="1"/>
  <c r="H134" i="1" s="1"/>
  <c r="K134" i="1" s="1"/>
  <c r="N134" i="1" s="1"/>
  <c r="L133" i="1"/>
  <c r="E133" i="1"/>
  <c r="H133" i="1" s="1"/>
  <c r="K133" i="1" s="1"/>
  <c r="N133" i="1" s="1"/>
  <c r="N132" i="1"/>
  <c r="K132" i="1"/>
  <c r="L131" i="1"/>
  <c r="E131" i="1"/>
  <c r="H131" i="1" s="1"/>
  <c r="K131" i="1" s="1"/>
  <c r="N131" i="1" s="1"/>
  <c r="L130" i="1"/>
  <c r="E130" i="1"/>
  <c r="H130" i="1" s="1"/>
  <c r="K130" i="1" s="1"/>
  <c r="N130" i="1" s="1"/>
  <c r="L129" i="1"/>
  <c r="E129" i="1"/>
  <c r="H129" i="1" s="1"/>
  <c r="K129" i="1" s="1"/>
  <c r="N129" i="1" s="1"/>
  <c r="L128" i="1"/>
  <c r="E128" i="1"/>
  <c r="H128" i="1" s="1"/>
  <c r="K128" i="1" s="1"/>
  <c r="N128" i="1" s="1"/>
  <c r="H126" i="1"/>
  <c r="K126" i="1" s="1"/>
  <c r="N126" i="1" s="1"/>
  <c r="E126" i="1"/>
  <c r="K125" i="1"/>
  <c r="N125" i="1" s="1"/>
  <c r="L124" i="1"/>
  <c r="E124" i="1"/>
  <c r="H124" i="1" s="1"/>
  <c r="K124" i="1" s="1"/>
  <c r="N124" i="1" s="1"/>
  <c r="L123" i="1"/>
  <c r="E123" i="1"/>
  <c r="H123" i="1" s="1"/>
  <c r="K123" i="1" s="1"/>
  <c r="N123" i="1" s="1"/>
  <c r="E122" i="1"/>
  <c r="H122" i="1" s="1"/>
  <c r="K122" i="1" s="1"/>
  <c r="N122" i="1" s="1"/>
  <c r="N121" i="1"/>
  <c r="K121" i="1"/>
  <c r="N120" i="1"/>
  <c r="L120" i="1"/>
  <c r="L119" i="1"/>
  <c r="E119" i="1"/>
  <c r="H119" i="1" s="1"/>
  <c r="K119" i="1" s="1"/>
  <c r="N119" i="1" s="1"/>
  <c r="M118" i="1"/>
  <c r="H118" i="1"/>
  <c r="K118" i="1" s="1"/>
  <c r="N118" i="1" s="1"/>
  <c r="G118" i="1"/>
  <c r="M117" i="1"/>
  <c r="G117" i="1"/>
  <c r="H117" i="1" s="1"/>
  <c r="K117" i="1" s="1"/>
  <c r="N117" i="1" s="1"/>
  <c r="L116" i="1"/>
  <c r="E116" i="1"/>
  <c r="H116" i="1" s="1"/>
  <c r="K116" i="1" s="1"/>
  <c r="N116" i="1" s="1"/>
  <c r="N115" i="1"/>
  <c r="L115" i="1"/>
  <c r="L114" i="1"/>
  <c r="E114" i="1"/>
  <c r="H114" i="1" s="1"/>
  <c r="K114" i="1" s="1"/>
  <c r="N114" i="1" s="1"/>
  <c r="J112" i="1"/>
  <c r="H112" i="1"/>
  <c r="K112" i="1" s="1"/>
  <c r="N112" i="1" s="1"/>
  <c r="E112" i="1"/>
  <c r="L111" i="1"/>
  <c r="E111" i="1"/>
  <c r="H111" i="1" s="1"/>
  <c r="K111" i="1" s="1"/>
  <c r="N111" i="1" s="1"/>
  <c r="L110" i="1"/>
  <c r="E110" i="1"/>
  <c r="H110" i="1" s="1"/>
  <c r="K110" i="1" s="1"/>
  <c r="N110" i="1" s="1"/>
  <c r="N109" i="1"/>
  <c r="L109" i="1"/>
  <c r="L108" i="1"/>
  <c r="E108" i="1"/>
  <c r="H108" i="1" s="1"/>
  <c r="K108" i="1" s="1"/>
  <c r="N108" i="1" s="1"/>
  <c r="L107" i="1"/>
  <c r="E107" i="1"/>
  <c r="H107" i="1" s="1"/>
  <c r="K107" i="1" s="1"/>
  <c r="N107" i="1" s="1"/>
  <c r="L106" i="1"/>
  <c r="E106" i="1"/>
  <c r="H106" i="1" s="1"/>
  <c r="K106" i="1" s="1"/>
  <c r="N106" i="1" s="1"/>
  <c r="M105" i="1"/>
  <c r="N105" i="1" s="1"/>
  <c r="J103" i="1"/>
  <c r="H103" i="1"/>
  <c r="K103" i="1" s="1"/>
  <c r="N103" i="1" s="1"/>
  <c r="E103" i="1"/>
  <c r="N102" i="1"/>
  <c r="L102" i="1"/>
  <c r="L101" i="1"/>
  <c r="E101" i="1"/>
  <c r="H101" i="1" s="1"/>
  <c r="K101" i="1" s="1"/>
  <c r="N101" i="1" s="1"/>
  <c r="J99" i="1"/>
  <c r="H99" i="1"/>
  <c r="K99" i="1" s="1"/>
  <c r="N99" i="1" s="1"/>
  <c r="E99" i="1"/>
  <c r="L98" i="1"/>
  <c r="E98" i="1"/>
  <c r="H98" i="1" s="1"/>
  <c r="K98" i="1" s="1"/>
  <c r="N98" i="1" s="1"/>
  <c r="L97" i="1"/>
  <c r="L81" i="1" s="1"/>
  <c r="E97" i="1"/>
  <c r="H97" i="1" s="1"/>
  <c r="K97" i="1" s="1"/>
  <c r="N97" i="1" s="1"/>
  <c r="N96" i="1"/>
  <c r="M96" i="1"/>
  <c r="H94" i="1"/>
  <c r="K94" i="1" s="1"/>
  <c r="N94" i="1" s="1"/>
  <c r="E94" i="1"/>
  <c r="N93" i="1"/>
  <c r="L93" i="1"/>
  <c r="L92" i="1"/>
  <c r="E92" i="1"/>
  <c r="H92" i="1" s="1"/>
  <c r="K92" i="1" s="1"/>
  <c r="N92" i="1" s="1"/>
  <c r="E89" i="1"/>
  <c r="H89" i="1" s="1"/>
  <c r="K89" i="1" s="1"/>
  <c r="N89" i="1" s="1"/>
  <c r="F88" i="1"/>
  <c r="F81" i="1" s="1"/>
  <c r="E88" i="1"/>
  <c r="H88" i="1" s="1"/>
  <c r="K88" i="1" s="1"/>
  <c r="N88" i="1" s="1"/>
  <c r="E87" i="1"/>
  <c r="H87" i="1" s="1"/>
  <c r="K87" i="1" s="1"/>
  <c r="N87" i="1" s="1"/>
  <c r="E86" i="1"/>
  <c r="H86" i="1" s="1"/>
  <c r="K86" i="1" s="1"/>
  <c r="N86" i="1" s="1"/>
  <c r="E85" i="1"/>
  <c r="H85" i="1" s="1"/>
  <c r="K85" i="1" s="1"/>
  <c r="N85" i="1" s="1"/>
  <c r="L84" i="1"/>
  <c r="J84" i="1"/>
  <c r="G84" i="1"/>
  <c r="E84" i="1"/>
  <c r="H84" i="1" s="1"/>
  <c r="K84" i="1" s="1"/>
  <c r="N84" i="1" s="1"/>
  <c r="D84" i="1"/>
  <c r="H83" i="1"/>
  <c r="K83" i="1" s="1"/>
  <c r="E83" i="1"/>
  <c r="N82" i="1"/>
  <c r="M81" i="1"/>
  <c r="J81" i="1"/>
  <c r="I81" i="1"/>
  <c r="G81" i="1"/>
  <c r="D81" i="1"/>
  <c r="C81" i="1"/>
  <c r="E81" i="1" s="1"/>
  <c r="E80" i="1"/>
  <c r="H80" i="1" s="1"/>
  <c r="K80" i="1" s="1"/>
  <c r="N80" i="1" s="1"/>
  <c r="E79" i="1"/>
  <c r="H79" i="1" s="1"/>
  <c r="K79" i="1" s="1"/>
  <c r="N79" i="1" s="1"/>
  <c r="E78" i="1"/>
  <c r="H78" i="1" s="1"/>
  <c r="M76" i="1"/>
  <c r="L76" i="1"/>
  <c r="J76" i="1"/>
  <c r="I76" i="1"/>
  <c r="G76" i="1"/>
  <c r="F76" i="1"/>
  <c r="D76" i="1"/>
  <c r="C76" i="1"/>
  <c r="E76" i="1" s="1"/>
  <c r="M75" i="1"/>
  <c r="L75" i="1"/>
  <c r="J75" i="1"/>
  <c r="G75" i="1"/>
  <c r="E75" i="1"/>
  <c r="H75" i="1" s="1"/>
  <c r="K75" i="1" s="1"/>
  <c r="N75" i="1" s="1"/>
  <c r="D75" i="1"/>
  <c r="H74" i="1"/>
  <c r="K74" i="1" s="1"/>
  <c r="N74" i="1" s="1"/>
  <c r="J73" i="1"/>
  <c r="G73" i="1"/>
  <c r="D73" i="1"/>
  <c r="E73" i="1" s="1"/>
  <c r="H73" i="1" s="1"/>
  <c r="K73" i="1" s="1"/>
  <c r="N73" i="1" s="1"/>
  <c r="L72" i="1"/>
  <c r="N72" i="1" s="1"/>
  <c r="M71" i="1"/>
  <c r="J71" i="1"/>
  <c r="J69" i="1" s="1"/>
  <c r="E71" i="1"/>
  <c r="H71" i="1" s="1"/>
  <c r="M69" i="1"/>
  <c r="I69" i="1"/>
  <c r="G69" i="1"/>
  <c r="F69" i="1"/>
  <c r="C69" i="1"/>
  <c r="L68" i="1"/>
  <c r="G68" i="1"/>
  <c r="E68" i="1"/>
  <c r="H68" i="1" s="1"/>
  <c r="K68" i="1" s="1"/>
  <c r="N68" i="1" s="1"/>
  <c r="D68" i="1"/>
  <c r="H67" i="1"/>
  <c r="K67" i="1" s="1"/>
  <c r="N67" i="1" s="1"/>
  <c r="L66" i="1"/>
  <c r="N66" i="1" s="1"/>
  <c r="L65" i="1"/>
  <c r="N65" i="1" s="1"/>
  <c r="E64" i="1"/>
  <c r="H64" i="1" s="1"/>
  <c r="K64" i="1" s="1"/>
  <c r="N64" i="1" s="1"/>
  <c r="L63" i="1"/>
  <c r="F63" i="1"/>
  <c r="E63" i="1"/>
  <c r="H63" i="1" s="1"/>
  <c r="K63" i="1" s="1"/>
  <c r="N63" i="1" s="1"/>
  <c r="L62" i="1"/>
  <c r="L58" i="1" s="1"/>
  <c r="K62" i="1"/>
  <c r="N62" i="1" s="1"/>
  <c r="E61" i="1"/>
  <c r="H61" i="1" s="1"/>
  <c r="K61" i="1" s="1"/>
  <c r="N61" i="1" s="1"/>
  <c r="D60" i="1"/>
  <c r="E60" i="1" s="1"/>
  <c r="H60" i="1" s="1"/>
  <c r="M58" i="1"/>
  <c r="J58" i="1"/>
  <c r="I58" i="1"/>
  <c r="G58" i="1"/>
  <c r="F58" i="1"/>
  <c r="C58" i="1"/>
  <c r="M57" i="1"/>
  <c r="E57" i="1"/>
  <c r="H57" i="1" s="1"/>
  <c r="K57" i="1" s="1"/>
  <c r="N57" i="1" s="1"/>
  <c r="J56" i="1"/>
  <c r="E56" i="1"/>
  <c r="H56" i="1" s="1"/>
  <c r="K56" i="1" s="1"/>
  <c r="N56" i="1" s="1"/>
  <c r="J55" i="1"/>
  <c r="G55" i="1"/>
  <c r="D55" i="1"/>
  <c r="E55" i="1" s="1"/>
  <c r="H55" i="1" s="1"/>
  <c r="K55" i="1" s="1"/>
  <c r="N55" i="1" s="1"/>
  <c r="M54" i="1"/>
  <c r="M52" i="1" s="1"/>
  <c r="J54" i="1"/>
  <c r="G54" i="1"/>
  <c r="G52" i="1" s="1"/>
  <c r="E54" i="1"/>
  <c r="H54" i="1" s="1"/>
  <c r="L52" i="1"/>
  <c r="J52" i="1"/>
  <c r="I52" i="1"/>
  <c r="F52" i="1"/>
  <c r="D52" i="1"/>
  <c r="C52" i="1"/>
  <c r="E52" i="1" s="1"/>
  <c r="M51" i="1"/>
  <c r="J51" i="1"/>
  <c r="I51" i="1"/>
  <c r="G51" i="1"/>
  <c r="D51" i="1"/>
  <c r="E51" i="1" s="1"/>
  <c r="H51" i="1" s="1"/>
  <c r="K51" i="1" s="1"/>
  <c r="N51" i="1" s="1"/>
  <c r="K50" i="1"/>
  <c r="N50" i="1" s="1"/>
  <c r="K49" i="1"/>
  <c r="N49" i="1" s="1"/>
  <c r="H48" i="1"/>
  <c r="K48" i="1" s="1"/>
  <c r="N48" i="1" s="1"/>
  <c r="H47" i="1"/>
  <c r="K47" i="1" s="1"/>
  <c r="N47" i="1" s="1"/>
  <c r="G47" i="1"/>
  <c r="J46" i="1"/>
  <c r="K46" i="1" s="1"/>
  <c r="N46" i="1" s="1"/>
  <c r="K45" i="1"/>
  <c r="N45" i="1" s="1"/>
  <c r="J45" i="1"/>
  <c r="H44" i="1"/>
  <c r="K44" i="1" s="1"/>
  <c r="N44" i="1" s="1"/>
  <c r="G44" i="1"/>
  <c r="H43" i="1"/>
  <c r="K43" i="1" s="1"/>
  <c r="N43" i="1" s="1"/>
  <c r="G43" i="1"/>
  <c r="H42" i="1"/>
  <c r="K42" i="1" s="1"/>
  <c r="N42" i="1" s="1"/>
  <c r="G42" i="1"/>
  <c r="H41" i="1"/>
  <c r="K41" i="1" s="1"/>
  <c r="N41" i="1" s="1"/>
  <c r="E41" i="1"/>
  <c r="H40" i="1"/>
  <c r="K40" i="1" s="1"/>
  <c r="N40" i="1" s="1"/>
  <c r="G40" i="1"/>
  <c r="H39" i="1"/>
  <c r="K39" i="1" s="1"/>
  <c r="N39" i="1" s="1"/>
  <c r="G39" i="1"/>
  <c r="D38" i="1"/>
  <c r="E38" i="1" s="1"/>
  <c r="H38" i="1" s="1"/>
  <c r="K38" i="1" s="1"/>
  <c r="N38" i="1" s="1"/>
  <c r="K37" i="1"/>
  <c r="N37" i="1" s="1"/>
  <c r="K36" i="1"/>
  <c r="N36" i="1" s="1"/>
  <c r="J36" i="1"/>
  <c r="H35" i="1"/>
  <c r="K35" i="1" s="1"/>
  <c r="N35" i="1" s="1"/>
  <c r="G35" i="1"/>
  <c r="D34" i="1"/>
  <c r="E34" i="1" s="1"/>
  <c r="H34" i="1" s="1"/>
  <c r="K34" i="1" s="1"/>
  <c r="N34" i="1" s="1"/>
  <c r="E33" i="1"/>
  <c r="H33" i="1" s="1"/>
  <c r="K33" i="1" s="1"/>
  <c r="N33" i="1" s="1"/>
  <c r="D33" i="1"/>
  <c r="H32" i="1"/>
  <c r="K32" i="1" s="1"/>
  <c r="N32" i="1" s="1"/>
  <c r="G32" i="1"/>
  <c r="N31" i="1"/>
  <c r="M31" i="1"/>
  <c r="J30" i="1"/>
  <c r="K30" i="1" s="1"/>
  <c r="N30" i="1" s="1"/>
  <c r="G29" i="1"/>
  <c r="H29" i="1" s="1"/>
  <c r="K29" i="1" s="1"/>
  <c r="N29" i="1" s="1"/>
  <c r="G28" i="1"/>
  <c r="H28" i="1" s="1"/>
  <c r="K28" i="1" s="1"/>
  <c r="N28" i="1" s="1"/>
  <c r="G27" i="1"/>
  <c r="H27" i="1" s="1"/>
  <c r="K26" i="1"/>
  <c r="N26" i="1" s="1"/>
  <c r="M25" i="1"/>
  <c r="N25" i="1" s="1"/>
  <c r="M23" i="1"/>
  <c r="L23" i="1"/>
  <c r="I23" i="1"/>
  <c r="I299" i="1" s="1"/>
  <c r="I395" i="1" s="1"/>
  <c r="I407" i="1" s="1"/>
  <c r="G23" i="1"/>
  <c r="G299" i="1" s="1"/>
  <c r="G395" i="1" s="1"/>
  <c r="G407" i="1" s="1"/>
  <c r="F23" i="1"/>
  <c r="C23" i="1"/>
  <c r="C299" i="1" s="1"/>
  <c r="M19" i="1"/>
  <c r="J19" i="1"/>
  <c r="I19" i="1"/>
  <c r="G19" i="1"/>
  <c r="F19" i="1"/>
  <c r="C19" i="1"/>
  <c r="E19" i="1" s="1"/>
  <c r="E18" i="1"/>
  <c r="H18" i="1" s="1"/>
  <c r="K18" i="1" s="1"/>
  <c r="N18" i="1" s="1"/>
  <c r="E17" i="1"/>
  <c r="H17" i="1" s="1"/>
  <c r="K17" i="1" s="1"/>
  <c r="N17" i="1" s="1"/>
  <c r="E16" i="1"/>
  <c r="H16" i="1" s="1"/>
  <c r="K16" i="1" s="1"/>
  <c r="N16" i="1" s="1"/>
  <c r="E15" i="1"/>
  <c r="H15" i="1" s="1"/>
  <c r="K15" i="1" s="1"/>
  <c r="N15" i="1" s="1"/>
  <c r="L14" i="1"/>
  <c r="L19" i="1" s="1"/>
  <c r="E14" i="1"/>
  <c r="H14" i="1" s="1"/>
  <c r="K14" i="1" s="1"/>
  <c r="N14" i="1" s="1"/>
  <c r="E13" i="1"/>
  <c r="H13" i="1" s="1"/>
  <c r="K13" i="1" s="1"/>
  <c r="N13" i="1" s="1"/>
  <c r="D12" i="1"/>
  <c r="D19" i="1" s="1"/>
  <c r="I9" i="1"/>
  <c r="I20" i="1" s="1"/>
  <c r="G9" i="1"/>
  <c r="G20" i="1" s="1"/>
  <c r="C9" i="1"/>
  <c r="C20" i="1" s="1"/>
  <c r="L8" i="1"/>
  <c r="J8" i="1"/>
  <c r="G8" i="1"/>
  <c r="E8" i="1"/>
  <c r="H8" i="1" s="1"/>
  <c r="K8" i="1" s="1"/>
  <c r="N8" i="1" s="1"/>
  <c r="D8" i="1"/>
  <c r="L7" i="1"/>
  <c r="E7" i="1"/>
  <c r="H7" i="1" s="1"/>
  <c r="K7" i="1" s="1"/>
  <c r="N7" i="1" s="1"/>
  <c r="M9" i="1"/>
  <c r="M20" i="1" s="1"/>
  <c r="L6" i="1"/>
  <c r="J6" i="1"/>
  <c r="J9" i="1" s="1"/>
  <c r="J20" i="1" s="1"/>
  <c r="G6" i="1"/>
  <c r="E6" i="1"/>
  <c r="E9" i="1" s="1"/>
  <c r="D6" i="1"/>
  <c r="D9" i="1" s="1"/>
  <c r="D20" i="1" s="1"/>
  <c r="L5" i="1"/>
  <c r="L9" i="1" s="1"/>
  <c r="L20" i="1" s="1"/>
  <c r="F5" i="1"/>
  <c r="F9" i="1" s="1"/>
  <c r="F20" i="1" s="1"/>
  <c r="E5" i="1"/>
  <c r="H5" i="1" s="1"/>
  <c r="M299" i="1" l="1"/>
  <c r="M395" i="1" s="1"/>
  <c r="M407" i="1" s="1"/>
  <c r="E20" i="1"/>
  <c r="K5" i="1"/>
  <c r="H6" i="1"/>
  <c r="K6" i="1" s="1"/>
  <c r="N6" i="1" s="1"/>
  <c r="C395" i="1"/>
  <c r="H23" i="1"/>
  <c r="K27" i="1"/>
  <c r="K60" i="1"/>
  <c r="H58" i="1"/>
  <c r="H76" i="1"/>
  <c r="K78" i="1"/>
  <c r="E12" i="1"/>
  <c r="H12" i="1" s="1"/>
  <c r="K54" i="1"/>
  <c r="H52" i="1"/>
  <c r="K71" i="1"/>
  <c r="H69" i="1"/>
  <c r="N83" i="1"/>
  <c r="K81" i="1"/>
  <c r="N81" i="1" s="1"/>
  <c r="K188" i="1"/>
  <c r="H186" i="1"/>
  <c r="K198" i="1"/>
  <c r="H196" i="1"/>
  <c r="K202" i="1"/>
  <c r="H200" i="1"/>
  <c r="N250" i="1"/>
  <c r="K248" i="1"/>
  <c r="N248" i="1" s="1"/>
  <c r="K251" i="1"/>
  <c r="N251" i="1" s="1"/>
  <c r="H248" i="1"/>
  <c r="K254" i="1"/>
  <c r="D23" i="1"/>
  <c r="E23" i="1" s="1"/>
  <c r="F299" i="1"/>
  <c r="F395" i="1" s="1"/>
  <c r="F407" i="1" s="1"/>
  <c r="J23" i="1"/>
  <c r="J299" i="1" s="1"/>
  <c r="J395" i="1" s="1"/>
  <c r="J407" i="1" s="1"/>
  <c r="D58" i="1"/>
  <c r="E58" i="1" s="1"/>
  <c r="D69" i="1"/>
  <c r="E69" i="1" s="1"/>
  <c r="L69" i="1"/>
  <c r="L299" i="1" s="1"/>
  <c r="L395" i="1" s="1"/>
  <c r="L407" i="1" s="1"/>
  <c r="H81" i="1"/>
  <c r="H174" i="1"/>
  <c r="K176" i="1"/>
  <c r="H286" i="1"/>
  <c r="K288" i="1"/>
  <c r="K302" i="1"/>
  <c r="N304" i="1"/>
  <c r="K315" i="1"/>
  <c r="H312" i="1"/>
  <c r="K328" i="1"/>
  <c r="N328" i="1" s="1"/>
  <c r="N330" i="1"/>
  <c r="N334" i="1"/>
  <c r="K335" i="1"/>
  <c r="N335" i="1" s="1"/>
  <c r="H332" i="1"/>
  <c r="N351" i="1"/>
  <c r="K349" i="1"/>
  <c r="N349" i="1" s="1"/>
  <c r="H275" i="1"/>
  <c r="K275" i="1" s="1"/>
  <c r="N275" i="1" s="1"/>
  <c r="E276" i="1"/>
  <c r="H276" i="1"/>
  <c r="N278" i="1"/>
  <c r="K283" i="1"/>
  <c r="H281" i="1"/>
  <c r="K306" i="1"/>
  <c r="N306" i="1" s="1"/>
  <c r="N308" i="1"/>
  <c r="H323" i="1"/>
  <c r="K325" i="1"/>
  <c r="K346" i="1"/>
  <c r="H344" i="1"/>
  <c r="H394" i="1" s="1"/>
  <c r="K356" i="1"/>
  <c r="N356" i="1" s="1"/>
  <c r="N358" i="1"/>
  <c r="H372" i="1"/>
  <c r="K374" i="1"/>
  <c r="K381" i="1"/>
  <c r="N381" i="1" s="1"/>
  <c r="N383" i="1"/>
  <c r="N387" i="1"/>
  <c r="K388" i="1"/>
  <c r="N388" i="1" s="1"/>
  <c r="H385" i="1"/>
  <c r="L286" i="1"/>
  <c r="E394" i="1"/>
  <c r="E302" i="1"/>
  <c r="K360" i="1"/>
  <c r="N360" i="1" s="1"/>
  <c r="N362" i="1"/>
  <c r="K367" i="1"/>
  <c r="H365" i="1"/>
  <c r="H389" i="1"/>
  <c r="K391" i="1"/>
  <c r="K398" i="1"/>
  <c r="H406" i="1"/>
  <c r="N391" i="1" l="1"/>
  <c r="K389" i="1"/>
  <c r="N389" i="1" s="1"/>
  <c r="K385" i="1"/>
  <c r="N385" i="1" s="1"/>
  <c r="N325" i="1"/>
  <c r="K323" i="1"/>
  <c r="N323" i="1" s="1"/>
  <c r="N288" i="1"/>
  <c r="K286" i="1"/>
  <c r="N286" i="1" s="1"/>
  <c r="N176" i="1"/>
  <c r="K174" i="1"/>
  <c r="N174" i="1" s="1"/>
  <c r="N254" i="1"/>
  <c r="K252" i="1"/>
  <c r="N252" i="1" s="1"/>
  <c r="N78" i="1"/>
  <c r="K76" i="1"/>
  <c r="N76" i="1" s="1"/>
  <c r="N60" i="1"/>
  <c r="K58" i="1"/>
  <c r="N58" i="1" s="1"/>
  <c r="N27" i="1"/>
  <c r="K23" i="1"/>
  <c r="H9" i="1"/>
  <c r="K406" i="1"/>
  <c r="N406" i="1" s="1"/>
  <c r="N398" i="1"/>
  <c r="K365" i="1"/>
  <c r="N365" i="1" s="1"/>
  <c r="N367" i="1"/>
  <c r="N374" i="1"/>
  <c r="K372" i="1"/>
  <c r="N372" i="1" s="1"/>
  <c r="K344" i="1"/>
  <c r="N344" i="1" s="1"/>
  <c r="N346" i="1"/>
  <c r="N283" i="1"/>
  <c r="K281" i="1"/>
  <c r="N281" i="1" s="1"/>
  <c r="K332" i="1"/>
  <c r="N332" i="1" s="1"/>
  <c r="K312" i="1"/>
  <c r="N312" i="1" s="1"/>
  <c r="N315" i="1"/>
  <c r="K394" i="1"/>
  <c r="N302" i="1"/>
  <c r="N394" i="1" s="1"/>
  <c r="D299" i="1"/>
  <c r="H252" i="1"/>
  <c r="N202" i="1"/>
  <c r="K200" i="1"/>
  <c r="N200" i="1" s="1"/>
  <c r="N198" i="1"/>
  <c r="K196" i="1"/>
  <c r="N196" i="1" s="1"/>
  <c r="K186" i="1"/>
  <c r="N186" i="1" s="1"/>
  <c r="N188" i="1"/>
  <c r="N71" i="1"/>
  <c r="K69" i="1"/>
  <c r="N69" i="1" s="1"/>
  <c r="N54" i="1"/>
  <c r="K52" i="1"/>
  <c r="N52" i="1" s="1"/>
  <c r="H19" i="1"/>
  <c r="K12" i="1"/>
  <c r="H299" i="1"/>
  <c r="H395" i="1" s="1"/>
  <c r="H407" i="1" s="1"/>
  <c r="C407" i="1"/>
  <c r="K9" i="1"/>
  <c r="N5" i="1"/>
  <c r="D395" i="1" l="1"/>
  <c r="E299" i="1"/>
  <c r="H20" i="1"/>
  <c r="N9" i="1"/>
  <c r="N12" i="1"/>
  <c r="K19" i="1"/>
  <c r="N19" i="1" s="1"/>
  <c r="K299" i="1"/>
  <c r="K395" i="1" s="1"/>
  <c r="N23" i="1"/>
  <c r="N299" i="1" s="1"/>
  <c r="K407" i="1" l="1"/>
  <c r="N407" i="1" s="1"/>
  <c r="N395" i="1"/>
  <c r="K20" i="1"/>
  <c r="N20" i="1" s="1"/>
  <c r="D407" i="1"/>
  <c r="E407" i="1" s="1"/>
  <c r="E395" i="1"/>
</calcChain>
</file>

<file path=xl/sharedStrings.xml><?xml version="1.0" encoding="utf-8"?>
<sst xmlns="http://schemas.openxmlformats.org/spreadsheetml/2006/main" count="633" uniqueCount="401">
  <si>
    <t>Závazný ukazatel</t>
  </si>
  <si>
    <t>Časová pužitelnost                dotací a příspěvků                                     (od - do)</t>
  </si>
  <si>
    <t>Schválený rozpočet na rok 2022                                          (v tis. Kč)</t>
  </si>
  <si>
    <t>Rozpočtová opatření RM č. 1 - 22                                         (v tis. Kč)</t>
  </si>
  <si>
    <t>Rozpočet roku 2022                 po rozpočtových opatřeních RM                        č. 1 - 26                                         (v tis. Kč)</t>
  </si>
  <si>
    <t>1. změna rozpočtu                                    (v tis. Kč)</t>
  </si>
  <si>
    <t>Rozpočtová opatření RM č. 27 - 62                                    (v tis. Kč)</t>
  </si>
  <si>
    <t>Rozpočet roku 2022  po 1. změně                                  a po RO  RM                             č. 1 - 71                                    (v tis. Kč)</t>
  </si>
  <si>
    <t>2. změna                   rozpočtu                              (v tis. Kč)</t>
  </si>
  <si>
    <t>Rozpočtová opatření                   RM č. 72 - 100                              (v tis. Kč)</t>
  </si>
  <si>
    <t>Rozpočet roku 2022 po 2. změně                                  a po RO RM                                                                       č. 1 - 117                                (v tis. Kč)</t>
  </si>
  <si>
    <t>3. změna rozpočtu                            (v tis. Kč)</t>
  </si>
  <si>
    <t>sl. 1</t>
  </si>
  <si>
    <t>sl. 2</t>
  </si>
  <si>
    <t>sl. 3</t>
  </si>
  <si>
    <t>sl. 4</t>
  </si>
  <si>
    <t>sl. 5</t>
  </si>
  <si>
    <t>sl. 6</t>
  </si>
  <si>
    <t>sl. 7</t>
  </si>
  <si>
    <t>Příjmy (třída 1 - 4)</t>
  </si>
  <si>
    <t>Daňové příjmy (třída 1)</t>
  </si>
  <si>
    <t>Nedaňové příjmy (třída 2)</t>
  </si>
  <si>
    <t>Kapitálové příjmy (třída 3)</t>
  </si>
  <si>
    <t>Přijaté transfery (třída 4)</t>
  </si>
  <si>
    <t>Příjmy celkem (třída 1 - 4)</t>
  </si>
  <si>
    <t>Financování - příjmy (třída 8, bez pol. 8117 - od 2. změny rozpočtu)</t>
  </si>
  <si>
    <t>8115 - Účelový zůstatek minulého roku</t>
  </si>
  <si>
    <t>8115 - Neúčelový zůstatek minulého roku</t>
  </si>
  <si>
    <t>8115 - Čerpání sociálního fondu</t>
  </si>
  <si>
    <t xml:space="preserve">8115 - Čerpání fondu pomoci občanům dotčeným výstavbou komunikace R/48 </t>
  </si>
  <si>
    <t>8115 - Čerpání fondu pomoci občanům dotčeným živelními pohromami</t>
  </si>
  <si>
    <t>8117 - Aktivní krátkodobé operace řízení likvidity - příjmy</t>
  </si>
  <si>
    <t>8123 - Čerpání investičního úvěru</t>
  </si>
  <si>
    <t>Financování - příjmy celkem (třída 8, bez pol. 8117 -                        od 2. změny rozpočtu)</t>
  </si>
  <si>
    <t>Celkem zdroje (příjmy + financování)</t>
  </si>
  <si>
    <t>Běžné výdaje (třída 5)</t>
  </si>
  <si>
    <t>ORJ 01-Odbor kancelář primátora</t>
  </si>
  <si>
    <t>Z toho:</t>
  </si>
  <si>
    <t>AIKIDO AIKIKAI Frýdek-Místek, z.s. - zabezpečení akce "10. ročník školy AIKIDO AIKIKAI"</t>
  </si>
  <si>
    <t>1.1.2022 - 16.12.2022</t>
  </si>
  <si>
    <t>BABYLONIE, z. s. - zabezpečení mezinárodního setkání mládeže s názvem "Zdraví jako osobní bohatství"</t>
  </si>
  <si>
    <t>1.1.2022 - 31.10.2022</t>
  </si>
  <si>
    <t>Beskydská šachová škola z.s. - zabezpečení finále Extraligy ŠSČR 2021/2022</t>
  </si>
  <si>
    <t>1.1.2022 - 30.6.2022</t>
  </si>
  <si>
    <t>Beskydská volejbalová liga amatérů, z.s. - zabezpečení 13. ročníku "Regionální Beskydské volejbalové ligy"</t>
  </si>
  <si>
    <t>1.1.2022 - 31.7.2022</t>
  </si>
  <si>
    <t>Česká asociace skateboardingu z. s. - zabezpečení akce Český skateboardový pohár 2022</t>
  </si>
  <si>
    <t>Český svaz chovatelů z. s., základní organizace Místek 1 - zabezpečení Okresní výstavy okrasných strukturových plemen holubů a drůbeže</t>
  </si>
  <si>
    <t>1.1.2022 - 9.12.2022</t>
  </si>
  <si>
    <t>GB Draculino - zabezpečení akce "NoEXCUSE! 6"</t>
  </si>
  <si>
    <t>1.1.2022 -16.12.2022</t>
  </si>
  <si>
    <t>Nemocnice ve Frýdku-Místku, příspěvková organizace - zabezpečení akce Piknik s porodní asistentkou</t>
  </si>
  <si>
    <t>Tenisový klub TENNISPOINT ve Frýdku-Místku - zabezpečení tenisových turnajů kategorie A - starší žáci: Pohár primátora města Frýdku-Místku 2021 a mladší žáci: Štít města Frýdku-Místku 2021</t>
  </si>
  <si>
    <t>1.1.2022 - 31.8.2022</t>
  </si>
  <si>
    <r>
      <t>MUDr. Ivana R</t>
    </r>
    <r>
      <rPr>
        <sz val="10"/>
        <color theme="1"/>
        <rFont val="Calibri"/>
        <family val="2"/>
        <charset val="238"/>
      </rPr>
      <t>ö</t>
    </r>
    <r>
      <rPr>
        <sz val="10"/>
        <color theme="1"/>
        <rFont val="Calibri"/>
        <family val="2"/>
        <charset val="238"/>
        <scheme val="minor"/>
      </rPr>
      <t>schlová - zabezpečení akce Beskydský pediatrický den 2022</t>
    </r>
  </si>
  <si>
    <t>Plavecký oddíl Frýdek-Místek, z.s. - akce XIII. ročník plaveckých závodů O pohár primátora města Frýdku-Místku</t>
  </si>
  <si>
    <t>1.1.2022 - 31.5.2022</t>
  </si>
  <si>
    <t>Pobeskydský aviatický klub z.s. Frýdek-Místek - zabezpečení akce Setkání velkých modelů letadel</t>
  </si>
  <si>
    <t>POST BELLUM, z. ú. - zabezpečení akce Pestrá paměť Moravskoslezského kraje - putovní vzdělávací výstava</t>
  </si>
  <si>
    <t>1.1.2022 - 29.12.2022</t>
  </si>
  <si>
    <t>ProJantar s.r.o. - zabezpečení Galavečeru předávání Cen Jantar 2021</t>
  </si>
  <si>
    <t>SH ČMS - Sbor dobrovolných hasičů Místek-Bahno - zabezpečení akce 100 let výročí od založení SDH Místek-Bahno</t>
  </si>
  <si>
    <t>SH ČMS - Sbor dobrovolných hasičů Frýdek - akce Oslavy 150 let od založení SDH Frýdek</t>
  </si>
  <si>
    <t>1.1.2022 - 30.11.2022</t>
  </si>
  <si>
    <t>SH ČMS Sbor dobrovolných hasičů Skalice - akce Skalický kopec</t>
  </si>
  <si>
    <t>SH ČMS - Okresní sdružení hasičů Frýdek-Místek - zabezpečení soutěže "Krajské kolo hry Plamen a celoroční činnosti dorostu SH ČMS 2022"</t>
  </si>
  <si>
    <t>Sjednocená organizace nevidomých a slabozrakových České republiky, zapsaný spolek - akce Festival Dny umění nevidomých na Moravě 2022</t>
  </si>
  <si>
    <t>Svarog gym z.s. - zabezpečení mezinárodního intenzivního výukového semináře - Thajskýi box</t>
  </si>
  <si>
    <t>Taneční studio Dancepoint, z. s. - zabezpečení Závěrečné taneční show - 17. sezóna</t>
  </si>
  <si>
    <t>Ultras Lipina z. s. - zabezpečení realizace 9. ročníku amatérského nohejbalového turnaje Nohejbal Ultras Lipina Open 2022</t>
  </si>
  <si>
    <t>Way of Warrior z. s. - zabezpečení akce WOW NEW BLOOD 8</t>
  </si>
  <si>
    <t>ZO ČSOP Nový Jičín 70/02 - záchrana volně žijících živočichů</t>
  </si>
  <si>
    <t>TJ Sokol Frýdek-Místek - výdaje na účast taneční skupiny Funky Beat na Mistrovství Evropy v Belgii HIP HOP UNITE 2022 EUROPEAN CHAMPS</t>
  </si>
  <si>
    <t>Charita Frýdek-Místek - zabezpečení koncertu Janáčkovy filharmonie v rámci akce "Charita pro Frýdek-Místek - 30 let spolu"</t>
  </si>
  <si>
    <t>Ostatní neinvestiční výdaje odboru kancelář primátora</t>
  </si>
  <si>
    <r>
      <t>OR</t>
    </r>
    <r>
      <rPr>
        <b/>
        <sz val="10"/>
        <color indexed="8"/>
        <rFont val="Calibri"/>
        <family val="2"/>
        <charset val="238"/>
        <scheme val="minor"/>
      </rPr>
      <t>J 02-Odbor vnitřních věcí</t>
    </r>
  </si>
  <si>
    <t>Neinvestiční výdaje odboru vnitřních věcí z transferů</t>
  </si>
  <si>
    <t>Výdaje na opravy a udržování</t>
  </si>
  <si>
    <t>Neinvestiční výdaje hrazené ze sociálního fondu</t>
  </si>
  <si>
    <t>Ostatní neinvestiční výdaje odboru vnitřních věcí</t>
  </si>
  <si>
    <t>ORJ 03-Finanční odbor</t>
  </si>
  <si>
    <t>Československá obec legionářská, z. s. - neinvestiční dotace</t>
  </si>
  <si>
    <t>1.1.2022 - 13.12.2022</t>
  </si>
  <si>
    <t>Sportplex Frýdek-Místek, s. r. o. - neinvestiční dotace</t>
  </si>
  <si>
    <t>1.1.2022 - 31.12.2022</t>
  </si>
  <si>
    <t xml:space="preserve">Rezerva na neinvestiční dotaci - Sportplex Frýdek-Místek, s. r. o. </t>
  </si>
  <si>
    <t>Plánovaná rezerva města</t>
  </si>
  <si>
    <t>Rezerva na odvody a sankce</t>
  </si>
  <si>
    <t>Rezerva na dotaci - Nemocnice ve Frýdku-Místku, p. o. - provoz zubní pohotovosti</t>
  </si>
  <si>
    <t>Rezerva na výdaje r. 2023</t>
  </si>
  <si>
    <t>Finanční dar Velvyslanectví Ukrajiny v ČR pro Ozbrojené síly a domobranu Ukrajiny</t>
  </si>
  <si>
    <t>Ostatní neinvestiční výdaje finančního odboru</t>
  </si>
  <si>
    <t>ORJ 04-Odbor správy obecního majetku</t>
  </si>
  <si>
    <t>Neinvestiční výdaje odboru správy obecního majetku z transferů</t>
  </si>
  <si>
    <t>Neinvestiční výdaje odboru správy obecního majetku z přijatých příspěvků a náhrad</t>
  </si>
  <si>
    <t>Zdravotnická záchranná služba ve F-M, p. o. - neinvestiční dar</t>
  </si>
  <si>
    <t>Ostatní neinvestiční výdaje odboru správy obecního majetku</t>
  </si>
  <si>
    <t>ORJ 05-Živnostenský úřad</t>
  </si>
  <si>
    <t>Sdružení ochrany spotřebitelů Moravy a Slezska - neinvestiční transfer</t>
  </si>
  <si>
    <t>Ostatní neinvestiční výdaje živnostenského úřadu</t>
  </si>
  <si>
    <t>ORJ 06-Odbor ŠKMaT</t>
  </si>
  <si>
    <t>Neinvestiční výdaje odboru ŠKMaT z transferů</t>
  </si>
  <si>
    <t>DP Podpora a rozvoj kulturních aktivit ve městě - viz doplňující příloha č. 1</t>
  </si>
  <si>
    <t>viz dopl. příloha č. 1</t>
  </si>
  <si>
    <t>DP Podpora a rozvoj sportu ve městě - viz doplňující příloha č. 2</t>
  </si>
  <si>
    <t>viz dopl. příloha č. 2</t>
  </si>
  <si>
    <t>DP Podpora výchovy, vzdělávání a zájmových aktivit - viz doplňující příloha č. 4</t>
  </si>
  <si>
    <t>viz dopl. příloha č. 4</t>
  </si>
  <si>
    <t>Mládežnický sport - viz doplňující příloha č. 3</t>
  </si>
  <si>
    <t>viz dopl. příloha č. 3</t>
  </si>
  <si>
    <t>MŠ Beruška - na provoz</t>
  </si>
  <si>
    <t>MŠ Pohádka - na provoz</t>
  </si>
  <si>
    <t>MŠ Pohádka - na provoz - s vyúčtováním</t>
  </si>
  <si>
    <t>1.3.2022 - 31.8.2022</t>
  </si>
  <si>
    <t>MŠ Pohádka - ÚZ 13014</t>
  </si>
  <si>
    <t>1.9.2021 - 30.6.2022</t>
  </si>
  <si>
    <t>MŠ Pohádka - ÚZ 33092</t>
  </si>
  <si>
    <t>1.9.2022 - 31.8.2024</t>
  </si>
  <si>
    <t>ZŠ a MŠ Naděje, F-M, Škarabelova 562 - na provoz MŠ                       K Hájku</t>
  </si>
  <si>
    <t>MŠ Sluníčko - na provoz  (do r. 2021 pod názvem MŠ                          J. Myslivečka)</t>
  </si>
  <si>
    <t>MŠ Sluníčko - ÚZ 13014</t>
  </si>
  <si>
    <t>MŠ Mateřídouška - na provoz</t>
  </si>
  <si>
    <t>MŠ Mateřídouška - na provoz - s vyúčtováním</t>
  </si>
  <si>
    <t>MŠ Mateřídouška - ÚZ 13014</t>
  </si>
  <si>
    <t>MŠ Mateřídouška - ÚZ 33092</t>
  </si>
  <si>
    <t>ZŠ a MŠ F-M, Chlebovice - na provoz MŠ Chlebovice</t>
  </si>
  <si>
    <t>ZŠ a MŠ F-M, Skalice - na provoz MŠ Skalice</t>
  </si>
  <si>
    <t>MŠ Sněženka - na provoz</t>
  </si>
  <si>
    <t>MŠ Sněženka - na provoz - s vyúčtováním</t>
  </si>
  <si>
    <t>ZŠ a MŠ F-M, Lískovec - na provoz MŠ Lískovec</t>
  </si>
  <si>
    <t>MŠ Radost - na provoz (do r. 2021 pod názvem MŠ Anenská)</t>
  </si>
  <si>
    <t>MŠ Radost - ÚZ 13014</t>
  </si>
  <si>
    <t>MŠ Barevný svět - na provoz</t>
  </si>
  <si>
    <t>MŠ Barevný svět - na provoz - s vyúčtováním</t>
  </si>
  <si>
    <t>ZŠ F-M, národního umělce P. Bezruče, tř. TGM 454 - na provoz</t>
  </si>
  <si>
    <t>ZŠ F-M, národního umělce P. Bezruče, tř. TGM 454 - odborné kariérové a polytechnické vzdělávání - ÚZ 33063</t>
  </si>
  <si>
    <t>1.7.2021 - 30.11.2023</t>
  </si>
  <si>
    <t>ZŠ F-M, národního umělce P. Bezruče, tř. TGM 454 - odborné, kariérové a polytechnické vzdělávání - ÚZ 253</t>
  </si>
  <si>
    <t>ZŠ F-M, J. Čapka 2555 - na provoz (do r. 2021 pod názvem ZŠ a MŠ F-M, J. Čapka 2555)</t>
  </si>
  <si>
    <t>ZŠ F-M, J. Čapka 2555 - na provoz (do r. 2021 pod názvem ZŠ a MŠ F-M, J. Čapka 2555) - s vyúčtováním</t>
  </si>
  <si>
    <t>ZŠ F-M, J. Čapka 2555 - ÚZ 00333</t>
  </si>
  <si>
    <t>1.9.2022 - 31.7.2023</t>
  </si>
  <si>
    <t xml:space="preserve">ZŠ a MŠ Naděje, F-M, Škarabelova 562 - na provoz ZŠ </t>
  </si>
  <si>
    <t>ZŠ F-M, Komenského 402 - na provoz</t>
  </si>
  <si>
    <t>ZŠ F-M, El. Krásnohorské 2254 - na provoz (do r. 2021 pod názvem ZŠ a MŠ F-M, El. Krásnohorské 2254)</t>
  </si>
  <si>
    <t>ZŠ F-M, El. Krásnohorské 2254 - příspěvek poskytnutý ex post - na provoz (do r. 2021 pod názvem ZŠ a MŠ F-M, El. Krásnohorské 2254)</t>
  </si>
  <si>
    <t>1.3.2021 - 30.11.2021</t>
  </si>
  <si>
    <t>ZŠ F-M, El. Krásnohorské 2254 - ÚZ 13014</t>
  </si>
  <si>
    <t>ZŠ F-M, Pionýrů 400 - na provoz</t>
  </si>
  <si>
    <t>ZŠ F-M, 1. máje 1700 - na provoz</t>
  </si>
  <si>
    <t>ZŠ F-M, Československé armády 570 - na provoz</t>
  </si>
  <si>
    <t>ZŠ a MŠ F-M, Lískovec - na provoz ZŠ Lískovec</t>
  </si>
  <si>
    <t>ZŠ a MŠ F-M, Lískovec - ÚZ 00333</t>
  </si>
  <si>
    <t>1.9.2022 - 30.6.2023</t>
  </si>
  <si>
    <t>ZŠ a MŠ F-M, Chlebovice - na provoz ZŠ Chlebovice</t>
  </si>
  <si>
    <t>ZŠ F-M, J. z Poděbrad 3109 - na provoz</t>
  </si>
  <si>
    <t>ZŠ F-M, J. z Poděbrad 3109 - ÚZ 13014</t>
  </si>
  <si>
    <t>ZŠ a MŠ F-M, Skalice - na provoz ZŠ Skalice</t>
  </si>
  <si>
    <t>Středisko volného času Klíč - na provoz</t>
  </si>
  <si>
    <t>Středisko volného času Klíč - na provoz - s vyúčtováním</t>
  </si>
  <si>
    <t>1.5.2022 - 31.8.2022</t>
  </si>
  <si>
    <t>Středisko volného času Klíč - ÚZ 00133</t>
  </si>
  <si>
    <t>Středisko volného času Klíč - ÚZ 33166</t>
  </si>
  <si>
    <t>Středisko volného času Klíč - odborné, kariérové a polytechnické vzdělávání - ÚZ 33063</t>
  </si>
  <si>
    <t>Středisko volného času Klíč - odborné, kariérové a polytechnické vzdělávání - ÚZ 253</t>
  </si>
  <si>
    <t>ZUŠ Frýdek-Místek - na provoz</t>
  </si>
  <si>
    <t>Městská knihovna Frýdek-Místek - na provoz</t>
  </si>
  <si>
    <t>Městská knihovna Frýdek-Místek - ÚZ 00345</t>
  </si>
  <si>
    <t>Městská knihovna Frýdek-Místek - ÚZ 34053</t>
  </si>
  <si>
    <t>Městská knihovna Frýdek-Místek - ÚZ 34070</t>
  </si>
  <si>
    <t>Národní dům Frýdek-Místek - na provoz</t>
  </si>
  <si>
    <r>
      <t xml:space="preserve">Střední průmyslová škola, Obchodní akademie a Jazyková škola s právem státní jazykové zkoušky, F-M, p. o. - polytechnické a přírodní vědy - projekt "Podpora polytechnického vzdělávání žáků základních škol F≈M i střední školy POJ F≈M směrem k moderním technologiím" - </t>
    </r>
    <r>
      <rPr>
        <i/>
        <sz val="10"/>
        <color theme="1"/>
        <rFont val="Calibri"/>
        <family val="2"/>
        <charset val="238"/>
        <scheme val="minor"/>
      </rPr>
      <t>neinvestiční část transferu</t>
    </r>
  </si>
  <si>
    <t>1.6.2022 - 31.12.2023</t>
  </si>
  <si>
    <t>MAS Pobeskydí, z.s. - seminář pro ředitele škol, festival inspirace v přírodních vědách</t>
  </si>
  <si>
    <t>1.1.2022 - 15.11.2022</t>
  </si>
  <si>
    <t xml:space="preserve">GOODWILL v. o. š. - Seniorská akademie </t>
  </si>
  <si>
    <t>Paměť národa - POST BELLUM, z.ú.</t>
  </si>
  <si>
    <t>Nemocnice ve F-M, p.o. - na náklady spojené s proškolením žáků na KPR</t>
  </si>
  <si>
    <t>Židovská obec v Ostravě - na opravy židovského hřbitova</t>
  </si>
  <si>
    <t>1.1.2022 - 14.12.2022</t>
  </si>
  <si>
    <t>HC Frýdek-Místek 2015, s. r. o. - náklady družstva dospělých hokejistů</t>
  </si>
  <si>
    <t>FK Frýdek-Místek z. s. - náklady družstva dospělých fotbalistů</t>
  </si>
  <si>
    <t>Handicap centrum Škola života F-M, o.p.s. - Sportovní olympiáda mentálně postižených</t>
  </si>
  <si>
    <t>SKP Frýdek-Místek - náklady družstva dospělých házenkářů</t>
  </si>
  <si>
    <t>TJ Sokol Frýdek-Místek - na náklady družstva dospělých volejbalistek</t>
  </si>
  <si>
    <t>TJ Sokol Frýdek-Místek - výdaje na účast taneční skupiny Funky Beat na MS v Portugalsku "Hip Hop Unite 2022 World Champs"</t>
  </si>
  <si>
    <t>BŠŠ z.s. - na náklady družstva dospělých šachistů a šachistek</t>
  </si>
  <si>
    <t>BŠŠ z. s. - Turnaj šachových nadějí</t>
  </si>
  <si>
    <t>BŠŠ z.s. - účast na Mistrovství světa, ME a Mistrovství EU</t>
  </si>
  <si>
    <t>1.7.2022 - 30.11.2022</t>
  </si>
  <si>
    <t>Tenisový klub TENNISPOINT ve Frýdku-Místku - účast na Mistrovství ČR družstev staršího dorostu (U18) 2022</t>
  </si>
  <si>
    <t>1.9.2022 - 30.11.2022</t>
  </si>
  <si>
    <t>TJ Slezan F-M, z.s. - Hornická 10</t>
  </si>
  <si>
    <t>TJ Slezan F-M, z.s  - Májové závody</t>
  </si>
  <si>
    <t>BK Klasik z.s. - nájem baseballového hřiště</t>
  </si>
  <si>
    <t>SK K2, z. s. - akce F-M sport FEST</t>
  </si>
  <si>
    <t xml:space="preserve">Green Volley Frýdek-Místek, z.s. - na náklady družstva dospělých volejbalistů </t>
  </si>
  <si>
    <t>JO Tenisové tréninkové centrum z.s. - ITF 25 000 § tenisový turnaj žen</t>
  </si>
  <si>
    <t>Junák - český skaut, z.s. - na provoz skautského střediska Junák</t>
  </si>
  <si>
    <t>Ostatní neinvestiční výdaje odboru ŠKMaT</t>
  </si>
  <si>
    <t>ORJ 07-Odbor dopravy a silničního hospodářství</t>
  </si>
  <si>
    <t>ČSAD Frýdek-Místek, a. s. - provoz MHD</t>
  </si>
  <si>
    <t>ČSAD Frýdek-Místek, a. s. - provoz PAD</t>
  </si>
  <si>
    <t>ČSAD Frýdek-Místek, a. s. - provoz MHD - ÚZ 161</t>
  </si>
  <si>
    <t>MSK - dopravní obslužnost Česko-Těšínsko</t>
  </si>
  <si>
    <t>MSK - dopravní obslužnost Frýdlantsko</t>
  </si>
  <si>
    <t>MSK - dopravní obslužnost Frýdecko-Místecko</t>
  </si>
  <si>
    <t>MSK - dopravní obslužnost Havířovsko</t>
  </si>
  <si>
    <t>MSK - příspěvek na úhradu protarifovací ztráty v zóně č. 511 (Frýdek, Myslivna)</t>
  </si>
  <si>
    <t>Ostatní neinvestiční výdaje odboru dopravy a silničního hospodářství</t>
  </si>
  <si>
    <t>ORJ 09-Odbor životního prostředí a zemědělství</t>
  </si>
  <si>
    <t>Neinvestiční výdaje odboru životního prostředí a zemědělství z transferů</t>
  </si>
  <si>
    <t>DP Podpora aktivit vedoucích ke zlepšení životního prostředí - viz doplňující příloha č. 5</t>
  </si>
  <si>
    <t>viz dopl. příloha č. 5</t>
  </si>
  <si>
    <t>Program Podpora výsadby dřevin - viz doplňující příloha č. 13</t>
  </si>
  <si>
    <t>viz dopl. příloha č. 13</t>
  </si>
  <si>
    <t xml:space="preserve">Sdružení vlastníků obecních a soukromých lesů v ČR </t>
  </si>
  <si>
    <t>Spolek pro Faunapark - neinvestiční příspěvek</t>
  </si>
  <si>
    <t>1.1.2022 - 15.12.2022</t>
  </si>
  <si>
    <t xml:space="preserve">Neposedné tlapky, z. s. </t>
  </si>
  <si>
    <t>Ostatní neinvestiční výdaje odboru životního prostředí a zemědělství</t>
  </si>
  <si>
    <t>ORJ 10-Odbor sociální péče</t>
  </si>
  <si>
    <t>Neinvestiční výdaje odboru sociální péče z transferů</t>
  </si>
  <si>
    <t>Ostatní neinvestiční výdaje odboru sociální péče</t>
  </si>
  <si>
    <t>ORJ 11-Odbor sociálních služeb</t>
  </si>
  <si>
    <t>Neinvestiční výdaje odboru sociálních služeb z transferů</t>
  </si>
  <si>
    <t>DP Podpora a rozvoj sociálních služeb ve městě - viz doplňující příloha č. 9</t>
  </si>
  <si>
    <t>viz dopl. příloha č. 9</t>
  </si>
  <si>
    <t>DP Podpora projektů v oblasti zdravotnictví - viz doplňující příloha č. 10</t>
  </si>
  <si>
    <t>viz dopl. příloha č. 10</t>
  </si>
  <si>
    <t>DP Podpora a rozvoj ostatních aktivit navazujících na sociální služby - viz doplňující příloha č. 11</t>
  </si>
  <si>
    <t>viz dopl. příloha č. 11</t>
  </si>
  <si>
    <r>
      <t xml:space="preserve">Hospic Frýdek-Místek, p. o.  </t>
    </r>
    <r>
      <rPr>
        <i/>
        <sz val="10"/>
        <color indexed="8"/>
        <rFont val="Calibri"/>
        <family val="2"/>
        <charset val="238"/>
        <scheme val="minor"/>
      </rPr>
      <t>(přistoupení ke Smlouvě o závazku veřejné služby a vyrovnávací platbě za jeho výkon uzavřené mezi MSK a Hospicem Frýdek-Místek, p. o. - č. smlouvy 06964/2020/SOC)</t>
    </r>
  </si>
  <si>
    <t>Hospic Frýdek-Místek, p. o. - ÚZ 13305</t>
  </si>
  <si>
    <t>Hospic Frýdek-Místek, p. o. - ÚZ 00354</t>
  </si>
  <si>
    <t>Jesle Frýdek-Místek, p. o. - na provoz</t>
  </si>
  <si>
    <r>
      <t xml:space="preserve">Domov pro seniory Frýdek-Místek, p. o. </t>
    </r>
    <r>
      <rPr>
        <i/>
        <sz val="10"/>
        <color indexed="8"/>
        <rFont val="Calibri"/>
        <family val="2"/>
        <charset val="238"/>
        <scheme val="minor"/>
      </rPr>
      <t>(přistoupení ke Smlouvě o závazku veřejné služby a vyrovnávací platbě za jeho výkon uzavřené mezi MSK a Domovem pro seniory Frýdek-Místek, p. o. - č. smlouvy 06580/2020/SOC)</t>
    </r>
  </si>
  <si>
    <t>Domov pro seniory Frýdek-Místek, p. o. - ÚZ 13305</t>
  </si>
  <si>
    <r>
      <t xml:space="preserve">Centrum pečovatelské služby Frýdek-Místek, p. o. </t>
    </r>
    <r>
      <rPr>
        <i/>
        <sz val="10"/>
        <color indexed="8"/>
        <rFont val="Calibri"/>
        <family val="2"/>
        <charset val="238"/>
        <scheme val="minor"/>
      </rPr>
      <t>(přistoupení ke Smlouvě o závazku veřejné služby a vyrovnávací platbě za jeho výkon uzavřené mezi MSK a Centrem pečovatelské služby Frýdek-Místek, p. o. - č. smlouvy 06450/2020/SOC)</t>
    </r>
  </si>
  <si>
    <t>Centrum pečovatelské služby Frýdek-Místek, p. o. - ÚZ 13305</t>
  </si>
  <si>
    <r>
      <t xml:space="preserve">Penzion pro seniory Frýdek-Místek, p. o. </t>
    </r>
    <r>
      <rPr>
        <i/>
        <sz val="10"/>
        <color indexed="8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 Frýdek-Místek, p. o. - č. smlouvy 06981/2020/SOC) </t>
    </r>
  </si>
  <si>
    <t>Penzion pro seniory Frýdek-Místek, p. o. - ÚZ 13305</t>
  </si>
  <si>
    <r>
      <t xml:space="preserve">ŽIRAFA-Integrované centrum Frýdek-Místek, p. o. </t>
    </r>
    <r>
      <rPr>
        <i/>
        <sz val="10"/>
        <color indexed="8"/>
        <rFont val="Calibri"/>
        <family val="2"/>
        <charset val="238"/>
        <scheme val="minor"/>
      </rPr>
      <t>(přistoupení ke Smlouvě o závazku veřejné služby a vyrovnávací platbě za jeho výkon uzavřené mezi MSK a organizací ŽIRAFA-Integrované centrum Frýdek-Místek, p. o. - č. smlouvy 07590/2020/SOC)</t>
    </r>
  </si>
  <si>
    <t>ŽIRAFA-Integrované centrum Frýdek-Místek, p. o. - ÚZ 13305</t>
  </si>
  <si>
    <t>Asociace poskytovatelů sociálních služeb ČR - členský poplatek</t>
  </si>
  <si>
    <t>Závazek MSK - Fond sociálních služeb</t>
  </si>
  <si>
    <t>Náš svět, p. o., Pržno - středisko Anenská</t>
  </si>
  <si>
    <t>Středisko sociálních služeb Frýdlant n. Ostravicí</t>
  </si>
  <si>
    <t>MEDELA-péče o seniory, o. p. s.</t>
  </si>
  <si>
    <t>Armáda spásy - Domov Přístav Frýdek-Místek</t>
  </si>
  <si>
    <t>Armáda spásy v ČR, z.s. - noclehárna pro muže Ostrava</t>
  </si>
  <si>
    <t>Armáda spásy v ČR, z.s. - prevence bezdomovectví</t>
  </si>
  <si>
    <t>Společně o. p. s. Brno - SeniorPoint</t>
  </si>
  <si>
    <t>Krizové centrum Ostrava</t>
  </si>
  <si>
    <t>Centrum pro dětský sluch Tamtam, o. p. s. - Ranná péče</t>
  </si>
  <si>
    <t>Cesta bez bariér, spolek</t>
  </si>
  <si>
    <t>Domov sv. Jana Křtitele, s. r. o.</t>
  </si>
  <si>
    <t>ISÚ Komorní Lhotka, p. o.</t>
  </si>
  <si>
    <t>Nadační fond Pavla Novotného - dobrovolnictví</t>
  </si>
  <si>
    <t>NIPI bezbariérové prostředí o. p. s.</t>
  </si>
  <si>
    <t>NZDM Klub Semafor (přistoupení ke Smlouvě o závazku veřejné služby a vyrovnávací platbě za jeho výkon uzavřené mezi MSK a statutárním městem Frýdek-Místek, č. smlouvy 07840/2020/SOC)</t>
  </si>
  <si>
    <t xml:space="preserve">Senioři ČR, MO FM, z.s. - provoz CAS </t>
  </si>
  <si>
    <t>Senioři ČR, z. s., aktivní senioři F-M</t>
  </si>
  <si>
    <t>Adámková vila, Domov se zvlášním režimem, z. ú.</t>
  </si>
  <si>
    <t>Charita Frýdek-Místek - Podpora dobrovolnictví</t>
  </si>
  <si>
    <t>Charita Frýdek-Místek - Charitní pečovatelská služba</t>
  </si>
  <si>
    <t>Slezská diakonie, SÁRA F-M - azylový dům pro matky s dětmi</t>
  </si>
  <si>
    <t>Slezská diakonie, SÁRA F-M - azylový dům pro ženy</t>
  </si>
  <si>
    <t>Slezská diakonie, SÁRA F-M - sociální rehabilitace</t>
  </si>
  <si>
    <t>Slezská diakonie, RÚT F-M - sociální rehabilitace</t>
  </si>
  <si>
    <t>Slezská diakonie - sociální asistence F-M, SAS</t>
  </si>
  <si>
    <t xml:space="preserve">Slezská diakonie - výdejna potravin </t>
  </si>
  <si>
    <t>Nemocnice ve F-M, p.o. - Beskydské ortopedické dny</t>
  </si>
  <si>
    <t>Ostatní neinvestiční výdaje odboru sociálních služeb</t>
  </si>
  <si>
    <t>ORJ 12-Investiční odbor</t>
  </si>
  <si>
    <t>Neinvestiční výdaje investičního odboru z transferů</t>
  </si>
  <si>
    <t>Ostatní neinvestiční výdaje investičního odboru</t>
  </si>
  <si>
    <t>ORJ 13-Odbor územního rozvoje a stavebního řádu</t>
  </si>
  <si>
    <t>Neinvestiční výdaje odboru územního rozvoje a stavebního řádu z transferů</t>
  </si>
  <si>
    <t>DP Regenerace objektů s historickou nebo historizující fasádou na území města Frýdek-Místek - viz doplňující příloha č. 8</t>
  </si>
  <si>
    <t>viz dopl. příloha č. 8</t>
  </si>
  <si>
    <t>DP Regenerace města Frýdku-Místku - viz doplňující příloha č. 7</t>
  </si>
  <si>
    <t>viz dopl. příloha č. 7</t>
  </si>
  <si>
    <t>DP Reklama F-M - podpora zřízení či obnovy označení provozoven - viz doplňující příloha č. 14</t>
  </si>
  <si>
    <t>viz dopl. příloha č. 14</t>
  </si>
  <si>
    <t xml:space="preserve">Turistické informační centrum - na provoz </t>
  </si>
  <si>
    <t>Turistické informační centrum - ÚZ 00341</t>
  </si>
  <si>
    <t>Turistické infromační centrum - ÚZ 00672</t>
  </si>
  <si>
    <t>Turistické informační centrum - FM plný chutí a Beskydské rekordy - příspěvek s vyúčtováním</t>
  </si>
  <si>
    <t>Destinační management turistické oblasti Beskydy - Valašsko, o. p. s. - příspěvek do fondu cestovního ruchu</t>
  </si>
  <si>
    <t xml:space="preserve">Sdružení Region Beskydy - neinvestiční příspěvek </t>
  </si>
  <si>
    <t>1.1.2022 - 30.6.2023</t>
  </si>
  <si>
    <t>Sdružení pro rozvoj Moravskoslezského kraje - členský příspěvek</t>
  </si>
  <si>
    <t>Sdružení historických sídel Čech, Moravy a Slezska - členský příspěvek</t>
  </si>
  <si>
    <t>Dobrovolný svazek obcí Olešná - členský příspěvek</t>
  </si>
  <si>
    <t>Asociace pro urbanismus - členský příspěvek</t>
  </si>
  <si>
    <t>Svaz měst a obcí ČR - členský příspěvek</t>
  </si>
  <si>
    <t>Partnerství pro městskou mobilitu - členský příspěvek</t>
  </si>
  <si>
    <t>Rezerva na Program DARUJ F≈M</t>
  </si>
  <si>
    <t>Zachování a obnova kulturních památek: Společenství vlastníků domu 24, Zámecké nám., F-M - obnova domu č.p. 24, Zámecké nám., F-M - ÚZ 34054</t>
  </si>
  <si>
    <t>Zachování a obnova kulturních památek: Dr. Ing. Radim Valas - obnova domu č.p. 1237, Radniční, F-M - ÚZ 34054</t>
  </si>
  <si>
    <t>Zachování a obnova kulturních památek: Roman Pernický - obnova domu č.p. 63, Hluboká, F-M - ÚZ 34054</t>
  </si>
  <si>
    <t>Zachování a obnova kulturních památek: Vladimír Šmaha - obnova domu č.p. 30, nám. Svobody, F-M - ÚZ 34054</t>
  </si>
  <si>
    <t>Ostatní neinvestiční výdaje odboru územního rozvoje a stavebního řádu</t>
  </si>
  <si>
    <t>ORJ 16-Městská policie</t>
  </si>
  <si>
    <t>Neinvestiční výdaje Městské policie z transferů</t>
  </si>
  <si>
    <t>Ostatní neinvestiční výdaje Městské policie</t>
  </si>
  <si>
    <t>ORJ 17-Odbor informačních technologií</t>
  </si>
  <si>
    <t>Neinvestiční výdaje odboru informačních technologií z transferů</t>
  </si>
  <si>
    <t>Ostatní neinvestiční výdaje odboru informačních technologií</t>
  </si>
  <si>
    <t>ORJ 18-Odbor bezpečnostních rizik a prevence kriminality</t>
  </si>
  <si>
    <t>Neinvestiční výdaje odboru bezpečnostních rizik a prevence kriminality z transferů</t>
  </si>
  <si>
    <t>Neinvestiční výdaje odboru bezpečnostních rizik a prevence kriminality z přijatých příspěvků a náhrad</t>
  </si>
  <si>
    <t>DP Prevence kriminality - viz doplňující příloha č. 6</t>
  </si>
  <si>
    <t>viz dopl. příloha č. 6</t>
  </si>
  <si>
    <t>AVOS spol. s r.o. - ubytování uprchlíků z Ukrajiny</t>
  </si>
  <si>
    <t>24.2.2022 - 25.3.2022</t>
  </si>
  <si>
    <t>KOVICH 007 s.r.o. - ubytování uprchlíků z Ukrajiny</t>
  </si>
  <si>
    <t>MAVIAD FM S.r.o. - ubytování uprchlíků z Ukrajiny</t>
  </si>
  <si>
    <t>SCHÄFER SCHOOL aktivity centre, z.s. - na provoz adaptační skupiny pro děti z Ukrajiny</t>
  </si>
  <si>
    <t>24.2.2022 - 30.6.2022</t>
  </si>
  <si>
    <t>1.7.2022 - 31.8.2022</t>
  </si>
  <si>
    <t>Rodině blíž, z. s. - na realizaci projektu "Rodinné a výchovné poradenství"</t>
  </si>
  <si>
    <t>Ostatní neinvestiční výdaje odboru bezpečnostních rizik a prevence kriminality</t>
  </si>
  <si>
    <t>Běžné výdaje celkem (třída 5)</t>
  </si>
  <si>
    <t>Kapitálové výdaje (třída 6)</t>
  </si>
  <si>
    <t>SH ČMS Sbor dobrovolných hasičů Chlebovice - pořízení praporu pro SDH Chlebovice</t>
  </si>
  <si>
    <t>Ostatní kapitálové výdaje odboru kancelář primátora</t>
  </si>
  <si>
    <t>ORJ 02-Odbor vnitřních věcí</t>
  </si>
  <si>
    <t>Kapitálové výdaje odboru vnitřních věcí z transferů</t>
  </si>
  <si>
    <t>Výdaje na investiční akce</t>
  </si>
  <si>
    <t>Kapitálové výdaje hrazené ze sociálního fondu</t>
  </si>
  <si>
    <t>Ostatní kapitálové výdaje odboru vnitřních věcí</t>
  </si>
  <si>
    <t>Sportplex Frýdek-Místek, s.r.o. - investiční dotace</t>
  </si>
  <si>
    <t>Rezerva na požadavky Osadního výboru Chlebovice</t>
  </si>
  <si>
    <t>Rezerva na požadavky Osadního výboru Lískovec</t>
  </si>
  <si>
    <t>Rezerva na požadavky Osadního výboru Zelinkovice-Lysůvky</t>
  </si>
  <si>
    <t>Rezerva na požadavky Osadního výboru Skalice</t>
  </si>
  <si>
    <t>Rezerva na požadavky Osadního výboru Panské Nové Dvory</t>
  </si>
  <si>
    <t>Rezerva na městské investice - v oblasti bytového a nebytového fondu města</t>
  </si>
  <si>
    <t>Rezerva na městské investice - investiční akce ze zásobníku ORJ 12-IO</t>
  </si>
  <si>
    <t>Ostatní kapitálové výdaje finančního odboru</t>
  </si>
  <si>
    <t>Kapitálové výdaje hrazené z Fondu pomoci občanům dotčeným výstavbou komunikace R/48</t>
  </si>
  <si>
    <t>Ostatní kapitálové výdaje odboru správy obecního majetku</t>
  </si>
  <si>
    <t>Ostatní kapitálové výdaje živnostenského úřadu</t>
  </si>
  <si>
    <t>Kapitálové výdaje odboru ŠKMaT z transferů</t>
  </si>
  <si>
    <t>MŠ Sněženka - investiční transfer na zakoupení nového konvektomatu - s vyúčtováním</t>
  </si>
  <si>
    <t>ZŠ a MŠ F-M, Skalice 192 - investiční transfer na vybudování šaten pro MŠ Skalice - s vyúčtováním</t>
  </si>
  <si>
    <t>ZŠ F-M, Komenského 402 - investiční transfer na ICT - s vyúčtováním</t>
  </si>
  <si>
    <t>ZŠ F-M, El. Krásnohorské 2254 - investiční transfer na ICT - s vyúčtováním</t>
  </si>
  <si>
    <t>ZŠ F-M, El. Krásnohorské 2254 - investiční transfer poskytnutý ex post - bez vyúčtování</t>
  </si>
  <si>
    <t>ZŠ F-M, J. z Poděbrad 3109 - investiční transfer na ICT - s vyúčtováním</t>
  </si>
  <si>
    <r>
      <t xml:space="preserve">Střední průmyslová škola, Obchodní akademie a Jazyková škola s právem státní jazykové zkoušky, F-M, p. o. - polytechnické a přírodní vědy - projekt "Podpora polytechnického vzdělávání žáků základních škol F≈M i střední školy POJ F≈M směrem k moderním technologiím" - </t>
    </r>
    <r>
      <rPr>
        <i/>
        <sz val="10"/>
        <color theme="1"/>
        <rFont val="Calibri"/>
        <family val="2"/>
        <charset val="238"/>
        <scheme val="minor"/>
      </rPr>
      <t>investiční část transferu</t>
    </r>
  </si>
  <si>
    <t>Ostatní kapitálové výdaje odboru ŠKMaT</t>
  </si>
  <si>
    <t>Kapitálové výdaje odboru dopravy a silničního hospodářství z transferů</t>
  </si>
  <si>
    <t>Ostatní kapitálové výdaje odboru dopravy a silničního hospodářství</t>
  </si>
  <si>
    <t>Kapitálové výdaje odboru životního prostředí a zemědělství z transferů</t>
  </si>
  <si>
    <t>DP Podpora napojení na vodohospodářskou infrastrukturu města - viz doplňující příloha č. 15</t>
  </si>
  <si>
    <t>viz dopl. příloha č. 15</t>
  </si>
  <si>
    <t>Ostatní kapitálové výdaje odboru životního prostředí a zemědělství</t>
  </si>
  <si>
    <t>Kapitálové výdaje odboru sociální péče z transferů</t>
  </si>
  <si>
    <t>Ostatní kapitálové výdaje odboru sociální péče</t>
  </si>
  <si>
    <t>Kapitálové výdaje odboru sociálních služeb z transferů</t>
  </si>
  <si>
    <t>Nemocnice ve Frýdku-Místku, p. o. - Smlouva o spolupráci - nákup sanitky</t>
  </si>
  <si>
    <t>Ostatní kapitálové výdaje odboru sociálních služeb</t>
  </si>
  <si>
    <t>Kapitálové výdaje investičního odboru z transferů</t>
  </si>
  <si>
    <t>Rezerva na realizaci akcí vybraných z participativního rozpočtu</t>
  </si>
  <si>
    <t>Rezerva na kanalizace</t>
  </si>
  <si>
    <t>Ostatní kapitálové výdaje investičního odboru</t>
  </si>
  <si>
    <t>Kapitálové výdaje odboru územního rozvoje a stavebního řádu z transferů</t>
  </si>
  <si>
    <t>DP Pořízení hybridních automobilů - viz doplňující příloha č. 12</t>
  </si>
  <si>
    <t>viz dopl. příloha č. 12</t>
  </si>
  <si>
    <t>Rezerva na spolufinancování dotací</t>
  </si>
  <si>
    <t>Finanční dar pro Krajské ředitelství policie MSK na zakoupení přenosných vah PW-10 pro účely kontrolního vážení nákladních vozidel</t>
  </si>
  <si>
    <t>Finanční dar na veřejnou sbírku DARUJ F≈M - Nové lavice pro kostel sv. Jana Křtitele ve Frýdku</t>
  </si>
  <si>
    <t>Ostatní kapitálové výdaje odboru územního rozvoje a stavebního řádu</t>
  </si>
  <si>
    <t>Kapitálové výdaje Městské policie z transferů</t>
  </si>
  <si>
    <t>Kapitálové výdaje odboru informačních technologií z transferů</t>
  </si>
  <si>
    <t>Kapitálové výdaje odboru bezpečnostních rizik a prevence kriminality z transferů</t>
  </si>
  <si>
    <t>HZS Moravskoslezský kraj - investiční dotace na rekonstrukci budov hasičské stanice ve Frýdku-Místku</t>
  </si>
  <si>
    <t>Kapitálové výdaje celkem (třída 6)</t>
  </si>
  <si>
    <t>Výdaje celkem (třída 5 - 6)</t>
  </si>
  <si>
    <t>Financování - výdaje (třída 8, bez pol. 8118 - od 2. změny rozpočtu)</t>
  </si>
  <si>
    <t>8115 - Sociální fond</t>
  </si>
  <si>
    <t>8115 - Fond pomoci občanům dotčených výstavbou komunikace R/48</t>
  </si>
  <si>
    <t>8115 - Fond pomoci občanům dotčeným živelními pohromami</t>
  </si>
  <si>
    <t>8115 - Fond obnovy vodovodů a kanalizací</t>
  </si>
  <si>
    <t xml:space="preserve">8115 - Účelový zůstatek k 31. 12. </t>
  </si>
  <si>
    <t>8115 - Neúčelový zůstatek k 31. 12.</t>
  </si>
  <si>
    <t>8118 - Aktivní krátkodobé operace řízení likvidity - výdaje</t>
  </si>
  <si>
    <t>8124 - Splátky úvěrů</t>
  </si>
  <si>
    <t>Financování - výdaje celkem (třída 8, bez pol. 8118 -                            od 2. změny rozpočtu)</t>
  </si>
  <si>
    <t>Celkem potřeby (výdaje + financování)</t>
  </si>
  <si>
    <t>Financování - aktivní krátkodobé operace řízení likvidity (pol. 8117 a 8118)</t>
  </si>
  <si>
    <t>8117/8118 - Aktivní krátkodobé operace řízení likvidity</t>
  </si>
  <si>
    <t>x</t>
  </si>
  <si>
    <t>Financování - aktivní krátkodobé operace řízení likvidity celkem (pol. 8117 a 8118)</t>
  </si>
  <si>
    <t>Rozpočet roku 2022 po 3. změně                          a po RO RM                            č. 1 - 147                                         (v tis. Kč)</t>
  </si>
  <si>
    <t>Rozpočtová opatření RM FM                            č. 118 - 147                (v tis. Kč)</t>
  </si>
  <si>
    <t>MŠ Beruška - ÚZ 33092</t>
  </si>
  <si>
    <t>MŠ Beruška - ÚZ 13014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</si>
</sst>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horizontal="right"/>
    </xf>
    <xf numFmtId="0" fontId="0" fillId="4" borderId="18" xfId="0" applyFont="1" applyFill="1" applyBorder="1" applyAlignment="1"/>
    <xf numFmtId="0" fontId="0" fillId="4" borderId="19" xfId="0" applyFont="1" applyFill="1" applyBorder="1" applyAlignment="1"/>
    <xf numFmtId="0" fontId="0" fillId="4" borderId="17" xfId="0" applyFont="1" applyFill="1" applyBorder="1" applyAlignment="1"/>
    <xf numFmtId="0" fontId="0" fillId="4" borderId="20" xfId="0" applyFont="1" applyFill="1" applyBorder="1" applyAlignment="1"/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right"/>
    </xf>
    <xf numFmtId="4" fontId="4" fillId="0" borderId="22" xfId="0" applyNumberFormat="1" applyFont="1" applyBorder="1" applyAlignment="1"/>
    <xf numFmtId="4" fontId="4" fillId="0" borderId="23" xfId="0" applyNumberFormat="1" applyFont="1" applyBorder="1" applyAlignment="1"/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horizontal="right"/>
    </xf>
    <xf numFmtId="4" fontId="4" fillId="0" borderId="25" xfId="0" applyNumberFormat="1" applyFont="1" applyBorder="1" applyAlignment="1"/>
    <xf numFmtId="4" fontId="4" fillId="0" borderId="26" xfId="0" applyNumberFormat="1" applyFont="1" applyBorder="1" applyAlignment="1"/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horizontal="right"/>
    </xf>
    <xf numFmtId="4" fontId="4" fillId="0" borderId="28" xfId="0" applyNumberFormat="1" applyFont="1" applyBorder="1" applyAlignment="1"/>
    <xf numFmtId="4" fontId="4" fillId="0" borderId="29" xfId="0" applyNumberFormat="1" applyFont="1" applyBorder="1" applyAlignment="1"/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right"/>
    </xf>
    <xf numFmtId="4" fontId="5" fillId="4" borderId="18" xfId="0" applyNumberFormat="1" applyFont="1" applyFill="1" applyBorder="1" applyAlignment="1"/>
    <xf numFmtId="4" fontId="5" fillId="4" borderId="19" xfId="0" applyNumberFormat="1" applyFont="1" applyFill="1" applyBorder="1" applyAlignment="1"/>
    <xf numFmtId="4" fontId="5" fillId="4" borderId="17" xfId="0" applyNumberFormat="1" applyFont="1" applyFill="1" applyBorder="1" applyAlignment="1"/>
    <xf numFmtId="4" fontId="5" fillId="4" borderId="20" xfId="0" applyNumberFormat="1" applyFont="1" applyFill="1" applyBorder="1" applyAlignme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right"/>
    </xf>
    <xf numFmtId="4" fontId="4" fillId="0" borderId="13" xfId="0" applyNumberFormat="1" applyFont="1" applyBorder="1" applyAlignment="1"/>
    <xf numFmtId="4" fontId="4" fillId="0" borderId="14" xfId="0" applyNumberFormat="1" applyFont="1" applyBorder="1" applyAlignment="1"/>
    <xf numFmtId="4" fontId="4" fillId="0" borderId="12" xfId="0" applyNumberFormat="1" applyFont="1" applyBorder="1" applyAlignment="1"/>
    <xf numFmtId="4" fontId="4" fillId="0" borderId="5" xfId="0" applyNumberFormat="1" applyFont="1" applyBorder="1" applyAlignment="1"/>
    <xf numFmtId="0" fontId="1" fillId="5" borderId="16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horizontal="right"/>
    </xf>
    <xf numFmtId="4" fontId="4" fillId="5" borderId="18" xfId="0" applyNumberFormat="1" applyFont="1" applyFill="1" applyBorder="1" applyAlignment="1"/>
    <xf numFmtId="4" fontId="4" fillId="5" borderId="19" xfId="0" applyNumberFormat="1" applyFont="1" applyFill="1" applyBorder="1" applyAlignment="1"/>
    <xf numFmtId="4" fontId="4" fillId="5" borderId="17" xfId="0" applyNumberFormat="1" applyFont="1" applyFill="1" applyBorder="1" applyAlignment="1"/>
    <xf numFmtId="4" fontId="4" fillId="5" borderId="5" xfId="0" applyNumberFormat="1" applyFont="1" applyFill="1" applyBorder="1" applyAlignment="1"/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4" fontId="4" fillId="0" borderId="3" xfId="0" applyNumberFormat="1" applyFont="1" applyBorder="1" applyAlignment="1">
      <alignment vertical="center"/>
    </xf>
    <xf numFmtId="4" fontId="4" fillId="0" borderId="3" xfId="0" applyNumberFormat="1" applyFont="1" applyBorder="1" applyAlignment="1"/>
    <xf numFmtId="0" fontId="4" fillId="0" borderId="25" xfId="0" applyFont="1" applyBorder="1" applyAlignment="1">
      <alignment horizontal="right" vertical="center"/>
    </xf>
    <xf numFmtId="4" fontId="4" fillId="0" borderId="25" xfId="0" applyNumberFormat="1" applyFont="1" applyBorder="1" applyAlignment="1">
      <alignment vertical="center"/>
    </xf>
    <xf numFmtId="4" fontId="4" fillId="0" borderId="30" xfId="0" applyNumberFormat="1" applyFont="1" applyBorder="1" applyAlignment="1"/>
    <xf numFmtId="4" fontId="4" fillId="0" borderId="25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" fontId="4" fillId="0" borderId="31" xfId="0" applyNumberFormat="1" applyFont="1" applyBorder="1" applyAlignment="1"/>
    <xf numFmtId="0" fontId="1" fillId="5" borderId="17" xfId="0" applyFont="1" applyFill="1" applyBorder="1" applyAlignment="1">
      <alignment horizontal="right" vertical="center"/>
    </xf>
    <xf numFmtId="4" fontId="1" fillId="5" borderId="18" xfId="0" applyNumberFormat="1" applyFont="1" applyFill="1" applyBorder="1" applyAlignment="1"/>
    <xf numFmtId="4" fontId="1" fillId="5" borderId="19" xfId="0" applyNumberFormat="1" applyFont="1" applyFill="1" applyBorder="1" applyAlignment="1"/>
    <xf numFmtId="4" fontId="1" fillId="5" borderId="17" xfId="0" applyNumberFormat="1" applyFont="1" applyFill="1" applyBorder="1" applyAlignment="1"/>
    <xf numFmtId="4" fontId="1" fillId="5" borderId="5" xfId="0" applyNumberFormat="1" applyFont="1" applyFill="1" applyBorder="1" applyAlignment="1"/>
    <xf numFmtId="0" fontId="5" fillId="6" borderId="16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horizontal="right" vertical="center"/>
    </xf>
    <xf numFmtId="4" fontId="5" fillId="6" borderId="18" xfId="0" applyNumberFormat="1" applyFont="1" applyFill="1" applyBorder="1" applyAlignment="1">
      <alignment vertical="center"/>
    </xf>
    <xf numFmtId="4" fontId="5" fillId="6" borderId="19" xfId="0" applyNumberFormat="1" applyFont="1" applyFill="1" applyBorder="1" applyAlignment="1">
      <alignment vertical="center"/>
    </xf>
    <xf numFmtId="4" fontId="5" fillId="6" borderId="17" xfId="0" applyNumberFormat="1" applyFont="1" applyFill="1" applyBorder="1" applyAlignment="1">
      <alignment vertical="center"/>
    </xf>
    <xf numFmtId="4" fontId="5" fillId="6" borderId="18" xfId="0" applyNumberFormat="1" applyFont="1" applyFill="1" applyBorder="1" applyAlignment="1"/>
    <xf numFmtId="4" fontId="5" fillId="6" borderId="19" xfId="0" applyNumberFormat="1" applyFont="1" applyFill="1" applyBorder="1" applyAlignment="1"/>
    <xf numFmtId="4" fontId="5" fillId="6" borderId="5" xfId="0" applyNumberFormat="1" applyFont="1" applyFill="1" applyBorder="1" applyAlignment="1"/>
    <xf numFmtId="0" fontId="4" fillId="0" borderId="12" xfId="0" applyFont="1" applyBorder="1" applyAlignment="1">
      <alignment horizontal="right" vertical="center"/>
    </xf>
    <xf numFmtId="4" fontId="4" fillId="0" borderId="14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1" fillId="7" borderId="16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right" vertical="center"/>
    </xf>
    <xf numFmtId="4" fontId="4" fillId="7" borderId="18" xfId="0" applyNumberFormat="1" applyFont="1" applyFill="1" applyBorder="1" applyAlignment="1">
      <alignment vertical="center"/>
    </xf>
    <xf numFmtId="4" fontId="4" fillId="7" borderId="19" xfId="0" applyNumberFormat="1" applyFont="1" applyFill="1" applyBorder="1" applyAlignment="1">
      <alignment vertical="center"/>
    </xf>
    <xf numFmtId="4" fontId="4" fillId="7" borderId="17" xfId="0" applyNumberFormat="1" applyFont="1" applyFill="1" applyBorder="1" applyAlignment="1">
      <alignment vertical="center"/>
    </xf>
    <xf numFmtId="4" fontId="4" fillId="7" borderId="18" xfId="0" applyNumberFormat="1" applyFont="1" applyFill="1" applyBorder="1" applyAlignment="1"/>
    <xf numFmtId="4" fontId="4" fillId="7" borderId="19" xfId="0" applyNumberFormat="1" applyFont="1" applyFill="1" applyBorder="1" applyAlignment="1"/>
    <xf numFmtId="4" fontId="4" fillId="7" borderId="5" xfId="0" applyNumberFormat="1" applyFont="1" applyFill="1" applyBorder="1" applyAlignment="1"/>
    <xf numFmtId="0" fontId="6" fillId="8" borderId="16" xfId="0" applyFont="1" applyFill="1" applyBorder="1" applyAlignment="1">
      <alignment horizontal="left" vertical="center" wrapText="1"/>
    </xf>
    <xf numFmtId="0" fontId="6" fillId="8" borderId="17" xfId="0" applyFont="1" applyFill="1" applyBorder="1" applyAlignment="1">
      <alignment horizontal="right" vertical="center"/>
    </xf>
    <xf numFmtId="4" fontId="1" fillId="8" borderId="18" xfId="0" applyNumberFormat="1" applyFont="1" applyFill="1" applyBorder="1" applyAlignment="1">
      <alignment vertical="center"/>
    </xf>
    <xf numFmtId="4" fontId="1" fillId="8" borderId="19" xfId="0" applyNumberFormat="1" applyFont="1" applyFill="1" applyBorder="1" applyAlignment="1">
      <alignment vertical="center"/>
    </xf>
    <xf numFmtId="4" fontId="1" fillId="8" borderId="17" xfId="0" applyNumberFormat="1" applyFont="1" applyFill="1" applyBorder="1" applyAlignment="1">
      <alignment vertical="center"/>
    </xf>
    <xf numFmtId="4" fontId="1" fillId="8" borderId="18" xfId="0" applyNumberFormat="1" applyFont="1" applyFill="1" applyBorder="1" applyAlignment="1"/>
    <xf numFmtId="4" fontId="1" fillId="8" borderId="19" xfId="0" applyNumberFormat="1" applyFont="1" applyFill="1" applyBorder="1" applyAlignment="1"/>
    <xf numFmtId="4" fontId="5" fillId="8" borderId="5" xfId="0" applyNumberFormat="1" applyFont="1" applyFill="1" applyBorder="1" applyAlignment="1"/>
    <xf numFmtId="0" fontId="4" fillId="0" borderId="3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4" fontId="4" fillId="0" borderId="4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4" xfId="0" applyNumberFormat="1" applyFont="1" applyBorder="1" applyAlignment="1"/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right" vertical="center"/>
    </xf>
    <xf numFmtId="4" fontId="4" fillId="0" borderId="35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4" fillId="0" borderId="34" xfId="0" applyNumberFormat="1" applyFont="1" applyBorder="1" applyAlignment="1">
      <alignment vertical="center"/>
    </xf>
    <xf numFmtId="4" fontId="4" fillId="0" borderId="35" xfId="0" applyNumberFormat="1" applyFont="1" applyBorder="1" applyAlignment="1"/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right" vertical="center"/>
    </xf>
    <xf numFmtId="4" fontId="4" fillId="0" borderId="38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4" fontId="4" fillId="0" borderId="38" xfId="0" applyNumberFormat="1" applyFont="1" applyBorder="1" applyAlignment="1"/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right"/>
    </xf>
    <xf numFmtId="0" fontId="1" fillId="8" borderId="39" xfId="0" applyFont="1" applyFill="1" applyBorder="1" applyAlignment="1">
      <alignment horizontal="left" vertical="center" wrapText="1"/>
    </xf>
    <xf numFmtId="0" fontId="1" fillId="8" borderId="17" xfId="0" applyFont="1" applyFill="1" applyBorder="1" applyAlignment="1">
      <alignment horizontal="center" vertical="center"/>
    </xf>
    <xf numFmtId="4" fontId="1" fillId="8" borderId="17" xfId="0" applyNumberFormat="1" applyFont="1" applyFill="1" applyBorder="1" applyAlignment="1"/>
    <xf numFmtId="4" fontId="1" fillId="8" borderId="20" xfId="0" applyNumberFormat="1" applyFont="1" applyFill="1" applyBorder="1" applyAlignment="1"/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4" fontId="1" fillId="8" borderId="40" xfId="0" applyNumberFormat="1" applyFont="1" applyFill="1" applyBorder="1" applyAlignment="1"/>
    <xf numFmtId="0" fontId="9" fillId="0" borderId="24" xfId="0" applyFont="1" applyBorder="1" applyAlignment="1">
      <alignment vertical="center" wrapText="1"/>
    </xf>
    <xf numFmtId="4" fontId="4" fillId="3" borderId="25" xfId="0" applyNumberFormat="1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/>
    </xf>
    <xf numFmtId="0" fontId="6" fillId="8" borderId="17" xfId="0" applyFont="1" applyFill="1" applyBorder="1" applyAlignment="1">
      <alignment horizontal="center" vertical="center"/>
    </xf>
    <xf numFmtId="4" fontId="1" fillId="8" borderId="5" xfId="0" applyNumberFormat="1" applyFont="1" applyFill="1" applyBorder="1" applyAlignment="1"/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8" borderId="16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/>
    <xf numFmtId="0" fontId="4" fillId="0" borderId="37" xfId="0" applyFont="1" applyBorder="1" applyAlignment="1">
      <alignment horizontal="center" vertical="center"/>
    </xf>
    <xf numFmtId="4" fontId="4" fillId="0" borderId="37" xfId="0" applyNumberFormat="1" applyFont="1" applyBorder="1" applyAlignment="1"/>
    <xf numFmtId="0" fontId="4" fillId="0" borderId="41" xfId="0" applyFont="1" applyBorder="1" applyAlignment="1">
      <alignment horizontal="center" vertical="center"/>
    </xf>
    <xf numFmtId="4" fontId="4" fillId="0" borderId="42" xfId="0" applyNumberFormat="1" applyFont="1" applyBorder="1" applyAlignment="1"/>
    <xf numFmtId="4" fontId="4" fillId="0" borderId="41" xfId="0" applyNumberFormat="1" applyFont="1" applyBorder="1" applyAlignment="1"/>
    <xf numFmtId="4" fontId="4" fillId="0" borderId="43" xfId="0" applyNumberFormat="1" applyFont="1" applyBorder="1" applyAlignment="1"/>
    <xf numFmtId="0" fontId="0" fillId="0" borderId="25" xfId="0" applyFont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4" fontId="4" fillId="0" borderId="34" xfId="0" applyNumberFormat="1" applyFont="1" applyBorder="1" applyAlignment="1"/>
    <xf numFmtId="0" fontId="4" fillId="0" borderId="34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/>
    </xf>
    <xf numFmtId="4" fontId="4" fillId="0" borderId="44" xfId="0" applyNumberFormat="1" applyFont="1" applyBorder="1" applyAlignment="1"/>
    <xf numFmtId="0" fontId="6" fillId="8" borderId="16" xfId="0" applyFont="1" applyFill="1" applyBorder="1" applyAlignment="1">
      <alignment vertical="center" wrapText="1"/>
    </xf>
    <xf numFmtId="0" fontId="1" fillId="7" borderId="16" xfId="0" applyFont="1" applyFill="1" applyBorder="1" applyAlignment="1">
      <alignment vertical="center"/>
    </xf>
    <xf numFmtId="0" fontId="1" fillId="7" borderId="18" xfId="0" applyFont="1" applyFill="1" applyBorder="1" applyAlignment="1">
      <alignment horizontal="center" vertical="center"/>
    </xf>
    <xf numFmtId="4" fontId="1" fillId="7" borderId="18" xfId="0" applyNumberFormat="1" applyFont="1" applyFill="1" applyBorder="1" applyAlignment="1"/>
    <xf numFmtId="4" fontId="1" fillId="7" borderId="40" xfId="0" applyNumberFormat="1" applyFont="1" applyFill="1" applyBorder="1" applyAlignment="1"/>
    <xf numFmtId="0" fontId="1" fillId="3" borderId="11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" fontId="1" fillId="3" borderId="13" xfId="0" applyNumberFormat="1" applyFont="1" applyFill="1" applyBorder="1" applyAlignment="1"/>
    <xf numFmtId="4" fontId="4" fillId="0" borderId="45" xfId="0" applyNumberFormat="1" applyFont="1" applyBorder="1" applyAlignment="1"/>
    <xf numFmtId="0" fontId="6" fillId="7" borderId="18" xfId="0" applyFont="1" applyFill="1" applyBorder="1" applyAlignment="1">
      <alignment horizontal="center" vertical="center"/>
    </xf>
    <xf numFmtId="4" fontId="4" fillId="7" borderId="40" xfId="0" applyNumberFormat="1" applyFont="1" applyFill="1" applyBorder="1" applyAlignment="1"/>
    <xf numFmtId="4" fontId="1" fillId="8" borderId="18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" fontId="12" fillId="8" borderId="18" xfId="0" applyNumberFormat="1" applyFont="1" applyFill="1" applyBorder="1" applyAlignment="1"/>
    <xf numFmtId="4" fontId="12" fillId="8" borderId="19" xfId="0" applyNumberFormat="1" applyFont="1" applyFill="1" applyBorder="1" applyAlignment="1"/>
    <xf numFmtId="4" fontId="12" fillId="8" borderId="18" xfId="0" applyNumberFormat="1" applyFont="1" applyFill="1" applyBorder="1" applyAlignment="1">
      <alignment horizontal="right"/>
    </xf>
    <xf numFmtId="4" fontId="12" fillId="8" borderId="17" xfId="0" applyNumberFormat="1" applyFont="1" applyFill="1" applyBorder="1" applyAlignment="1">
      <alignment horizontal="right"/>
    </xf>
    <xf numFmtId="4" fontId="4" fillId="0" borderId="46" xfId="0" applyNumberFormat="1" applyFont="1" applyBorder="1" applyAlignment="1"/>
    <xf numFmtId="0" fontId="9" fillId="3" borderId="25" xfId="0" applyFont="1" applyFill="1" applyBorder="1" applyAlignment="1">
      <alignment horizontal="center" vertical="center"/>
    </xf>
    <xf numFmtId="4" fontId="1" fillId="8" borderId="17" xfId="0" applyNumberFormat="1" applyFont="1" applyFill="1" applyBorder="1" applyAlignment="1">
      <alignment horizontal="right"/>
    </xf>
    <xf numFmtId="0" fontId="9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right"/>
    </xf>
    <xf numFmtId="0" fontId="1" fillId="7" borderId="17" xfId="0" applyFont="1" applyFill="1" applyBorder="1" applyAlignment="1">
      <alignment horizontal="center" vertical="center"/>
    </xf>
    <xf numFmtId="4" fontId="1" fillId="7" borderId="19" xfId="0" applyNumberFormat="1" applyFont="1" applyFill="1" applyBorder="1" applyAlignment="1"/>
    <xf numFmtId="4" fontId="1" fillId="7" borderId="17" xfId="0" applyNumberFormat="1" applyFont="1" applyFill="1" applyBorder="1" applyAlignment="1"/>
    <xf numFmtId="4" fontId="1" fillId="7" borderId="5" xfId="0" applyNumberFormat="1" applyFont="1" applyFill="1" applyBorder="1" applyAlignment="1"/>
    <xf numFmtId="0" fontId="5" fillId="7" borderId="47" xfId="0" applyFont="1" applyFill="1" applyBorder="1" applyAlignment="1">
      <alignment vertical="center"/>
    </xf>
    <xf numFmtId="0" fontId="5" fillId="7" borderId="48" xfId="0" applyFont="1" applyFill="1" applyBorder="1" applyAlignment="1">
      <alignment horizontal="center" vertical="center"/>
    </xf>
    <xf numFmtId="4" fontId="1" fillId="7" borderId="49" xfId="0" applyNumberFormat="1" applyFont="1" applyFill="1" applyBorder="1" applyAlignment="1"/>
    <xf numFmtId="4" fontId="1" fillId="7" borderId="50" xfId="0" applyNumberFormat="1" applyFont="1" applyFill="1" applyBorder="1" applyAlignment="1"/>
    <xf numFmtId="4" fontId="1" fillId="7" borderId="48" xfId="0" applyNumberFormat="1" applyFont="1" applyFill="1" applyBorder="1" applyAlignment="1"/>
    <xf numFmtId="4" fontId="1" fillId="7" borderId="13" xfId="0" applyNumberFormat="1" applyFont="1" applyFill="1" applyBorder="1" applyAlignment="1"/>
    <xf numFmtId="0" fontId="5" fillId="3" borderId="51" xfId="0" applyFont="1" applyFill="1" applyBorder="1" applyAlignment="1">
      <alignment vertical="center"/>
    </xf>
    <xf numFmtId="0" fontId="5" fillId="3" borderId="52" xfId="0" applyFont="1" applyFill="1" applyBorder="1" applyAlignment="1">
      <alignment horizontal="center" vertical="center"/>
    </xf>
    <xf numFmtId="4" fontId="1" fillId="3" borderId="53" xfId="0" applyNumberFormat="1" applyFont="1" applyFill="1" applyBorder="1" applyAlignment="1"/>
    <xf numFmtId="4" fontId="1" fillId="3" borderId="54" xfId="0" applyNumberFormat="1" applyFont="1" applyFill="1" applyBorder="1" applyAlignment="1"/>
    <xf numFmtId="4" fontId="1" fillId="3" borderId="52" xfId="0" applyNumberFormat="1" applyFont="1" applyFill="1" applyBorder="1" applyAlignment="1"/>
    <xf numFmtId="4" fontId="4" fillId="0" borderId="53" xfId="0" applyNumberFormat="1" applyFont="1" applyBorder="1" applyAlignment="1"/>
    <xf numFmtId="0" fontId="4" fillId="5" borderId="17" xfId="0" applyFont="1" applyFill="1" applyBorder="1" applyAlignment="1">
      <alignment horizontal="center" vertical="center"/>
    </xf>
    <xf numFmtId="4" fontId="4" fillId="5" borderId="20" xfId="0" applyNumberFormat="1" applyFont="1" applyFill="1" applyBorder="1" applyAlignment="1"/>
    <xf numFmtId="0" fontId="1" fillId="5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/>
    <xf numFmtId="4" fontId="5" fillId="6" borderId="53" xfId="0" applyNumberFormat="1" applyFont="1" applyFill="1" applyBorder="1" applyAlignment="1"/>
    <xf numFmtId="0" fontId="0" fillId="0" borderId="1" xfId="0" applyFont="1" applyBorder="1"/>
    <xf numFmtId="0" fontId="0" fillId="0" borderId="3" xfId="0" applyFont="1" applyBorder="1"/>
    <xf numFmtId="0" fontId="0" fillId="0" borderId="3" xfId="0" applyFont="1" applyBorder="1" applyAlignment="1"/>
    <xf numFmtId="0" fontId="1" fillId="5" borderId="47" xfId="0" applyFont="1" applyFill="1" applyBorder="1" applyAlignment="1">
      <alignment vertical="center" wrapText="1"/>
    </xf>
    <xf numFmtId="0" fontId="4" fillId="5" borderId="48" xfId="0" applyFont="1" applyFill="1" applyBorder="1" applyAlignment="1">
      <alignment horizontal="center" vertical="center"/>
    </xf>
    <xf numFmtId="4" fontId="4" fillId="5" borderId="49" xfId="0" applyNumberFormat="1" applyFont="1" applyFill="1" applyBorder="1" applyAlignment="1"/>
    <xf numFmtId="4" fontId="4" fillId="5" borderId="50" xfId="0" applyNumberFormat="1" applyFont="1" applyFill="1" applyBorder="1" applyAlignment="1"/>
    <xf numFmtId="4" fontId="4" fillId="5" borderId="48" xfId="0" applyNumberFormat="1" applyFont="1" applyFill="1" applyBorder="1" applyAlignment="1"/>
    <xf numFmtId="0" fontId="4" fillId="0" borderId="51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4" fontId="4" fillId="0" borderId="53" xfId="0" applyNumberFormat="1" applyFont="1" applyBorder="1" applyAlignment="1">
      <alignment horizontal="right"/>
    </xf>
    <xf numFmtId="4" fontId="4" fillId="0" borderId="54" xfId="0" applyNumberFormat="1" applyFont="1" applyBorder="1" applyAlignment="1">
      <alignment horizontal="right"/>
    </xf>
    <xf numFmtId="4" fontId="4" fillId="0" borderId="52" xfId="0" applyNumberFormat="1" applyFont="1" applyBorder="1" applyAlignment="1">
      <alignment horizontal="right"/>
    </xf>
    <xf numFmtId="4" fontId="6" fillId="5" borderId="18" xfId="0" applyNumberFormat="1" applyFont="1" applyFill="1" applyBorder="1" applyAlignment="1"/>
    <xf numFmtId="4" fontId="6" fillId="5" borderId="19" xfId="0" applyNumberFormat="1" applyFont="1" applyFill="1" applyBorder="1" applyAlignment="1"/>
    <xf numFmtId="4" fontId="6" fillId="5" borderId="20" xfId="0" applyNumberFormat="1" applyFont="1" applyFill="1" applyBorder="1" applyAlignment="1"/>
    <xf numFmtId="0" fontId="0" fillId="0" borderId="0" xfId="0" applyFont="1" applyBorder="1"/>
    <xf numFmtId="0" fontId="0" fillId="0" borderId="35" xfId="0" applyFont="1" applyBorder="1"/>
    <xf numFmtId="0" fontId="0" fillId="0" borderId="22" xfId="0" applyFont="1" applyBorder="1"/>
    <xf numFmtId="0" fontId="0" fillId="0" borderId="38" xfId="0" applyFont="1" applyBorder="1"/>
    <xf numFmtId="0" fontId="0" fillId="0" borderId="25" xfId="0" applyFont="1" applyBorder="1"/>
    <xf numFmtId="0" fontId="1" fillId="5" borderId="48" xfId="0" applyFont="1" applyFill="1" applyBorder="1" applyAlignment="1">
      <alignment horizontal="center" vertical="center"/>
    </xf>
    <xf numFmtId="4" fontId="1" fillId="5" borderId="49" xfId="0" applyNumberFormat="1" applyFont="1" applyFill="1" applyBorder="1" applyAlignment="1"/>
    <xf numFmtId="4" fontId="1" fillId="5" borderId="50" xfId="0" applyNumberFormat="1" applyFont="1" applyFill="1" applyBorder="1" applyAlignment="1"/>
    <xf numFmtId="4" fontId="1" fillId="5" borderId="48" xfId="0" applyNumberFormat="1" applyFont="1" applyFill="1" applyBorder="1" applyAlignment="1"/>
    <xf numFmtId="4" fontId="1" fillId="5" borderId="31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2"/>
  <sheetViews>
    <sheetView tabSelected="1" view="pageLayout" topLeftCell="A382" zoomScaleNormal="100" workbookViewId="0">
      <selection activeCell="A405" sqref="A405:N405"/>
    </sheetView>
  </sheetViews>
  <sheetFormatPr defaultRowHeight="15" x14ac:dyDescent="0.25"/>
  <cols>
    <col min="1" max="1" width="48.5703125" style="6" customWidth="1"/>
    <col min="2" max="2" width="16.42578125" style="6" customWidth="1"/>
    <col min="3" max="3" width="13.140625" style="228" customWidth="1"/>
    <col min="4" max="4" width="12.7109375" style="231" hidden="1" customWidth="1"/>
    <col min="5" max="5" width="12.7109375" style="232" hidden="1" customWidth="1"/>
    <col min="6" max="6" width="12.7109375" style="6" hidden="1" customWidth="1"/>
    <col min="7" max="7" width="0.42578125" style="6" hidden="1" customWidth="1"/>
    <col min="8" max="8" width="14.28515625" style="6" hidden="1" customWidth="1"/>
    <col min="9" max="9" width="11.85546875" style="6" hidden="1" customWidth="1"/>
    <col min="10" max="10" width="12.5703125" style="6" hidden="1" customWidth="1"/>
    <col min="11" max="11" width="13.42578125" style="6" customWidth="1"/>
    <col min="12" max="12" width="13.5703125" style="6" customWidth="1"/>
    <col min="13" max="13" width="13" style="6" customWidth="1"/>
    <col min="14" max="14" width="13.5703125" style="6" customWidth="1"/>
    <col min="15" max="16384" width="9.140625" style="6"/>
  </cols>
  <sheetData>
    <row r="1" spans="1:14" ht="66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398</v>
      </c>
      <c r="N1" s="5" t="s">
        <v>397</v>
      </c>
    </row>
    <row r="2" spans="1:14" ht="13.5" customHeight="1" thickBot="1" x14ac:dyDescent="0.3">
      <c r="A2" s="7" t="s">
        <v>12</v>
      </c>
      <c r="B2" s="8" t="s">
        <v>13</v>
      </c>
      <c r="C2" s="9" t="s">
        <v>14</v>
      </c>
      <c r="D2" s="10" t="s">
        <v>15</v>
      </c>
      <c r="E2" s="9" t="s">
        <v>15</v>
      </c>
      <c r="F2" s="9" t="s">
        <v>16</v>
      </c>
      <c r="G2" s="11" t="s">
        <v>17</v>
      </c>
      <c r="H2" s="11" t="s">
        <v>15</v>
      </c>
      <c r="I2" s="9" t="s">
        <v>16</v>
      </c>
      <c r="J2" s="9" t="s">
        <v>17</v>
      </c>
      <c r="K2" s="9" t="s">
        <v>15</v>
      </c>
      <c r="L2" s="10" t="s">
        <v>16</v>
      </c>
      <c r="M2" s="9" t="s">
        <v>17</v>
      </c>
      <c r="N2" s="12" t="s">
        <v>18</v>
      </c>
    </row>
    <row r="3" spans="1:14" ht="9.75" customHeight="1" thickBot="1" x14ac:dyDescent="0.3">
      <c r="A3" s="13"/>
      <c r="B3" s="14"/>
      <c r="C3" s="15"/>
      <c r="D3" s="16"/>
      <c r="E3" s="15"/>
      <c r="F3" s="15"/>
      <c r="G3" s="15"/>
      <c r="H3" s="17"/>
      <c r="I3" s="15"/>
      <c r="J3" s="15"/>
      <c r="K3" s="15"/>
      <c r="L3" s="16"/>
      <c r="M3" s="15"/>
      <c r="N3" s="18"/>
    </row>
    <row r="4" spans="1:14" ht="13.5" customHeight="1" thickBot="1" x14ac:dyDescent="0.3">
      <c r="A4" s="19" t="s">
        <v>19</v>
      </c>
      <c r="B4" s="20"/>
      <c r="C4" s="21"/>
      <c r="D4" s="22"/>
      <c r="E4" s="21"/>
      <c r="F4" s="21"/>
      <c r="G4" s="21"/>
      <c r="H4" s="23"/>
      <c r="I4" s="21"/>
      <c r="J4" s="21"/>
      <c r="K4" s="21"/>
      <c r="L4" s="22"/>
      <c r="M4" s="21"/>
      <c r="N4" s="24"/>
    </row>
    <row r="5" spans="1:14" x14ac:dyDescent="0.25">
      <c r="A5" s="25" t="s">
        <v>20</v>
      </c>
      <c r="B5" s="26"/>
      <c r="C5" s="27">
        <v>926510</v>
      </c>
      <c r="D5" s="27">
        <v>0</v>
      </c>
      <c r="E5" s="27">
        <f>SUM(C5:D5)</f>
        <v>926510</v>
      </c>
      <c r="F5" s="27">
        <f>-668+1428</f>
        <v>760</v>
      </c>
      <c r="G5" s="27">
        <v>0</v>
      </c>
      <c r="H5" s="27">
        <f>SUM(E5:G5)</f>
        <v>927270</v>
      </c>
      <c r="I5" s="27">
        <v>0</v>
      </c>
      <c r="J5" s="27">
        <v>0</v>
      </c>
      <c r="K5" s="27">
        <f>SUM(H5:J5)</f>
        <v>927270</v>
      </c>
      <c r="L5" s="27">
        <f>52000</f>
        <v>52000</v>
      </c>
      <c r="M5" s="27">
        <v>0</v>
      </c>
      <c r="N5" s="28">
        <f>SUM(K5:M5)</f>
        <v>979270</v>
      </c>
    </row>
    <row r="6" spans="1:14" x14ac:dyDescent="0.25">
      <c r="A6" s="29" t="s">
        <v>21</v>
      </c>
      <c r="B6" s="30"/>
      <c r="C6" s="31">
        <v>177191.8</v>
      </c>
      <c r="D6" s="31">
        <f>17.84+84.99+59.2</f>
        <v>162.03</v>
      </c>
      <c r="E6" s="31">
        <f>SUM(C6:D6)+94.17</f>
        <v>177448</v>
      </c>
      <c r="F6" s="31">
        <v>1764.01</v>
      </c>
      <c r="G6" s="31">
        <f>-194.61+24.61+5.13</f>
        <v>-164.87</v>
      </c>
      <c r="H6" s="31">
        <f>SUM(E6:G6)+14.56</f>
        <v>179061.7</v>
      </c>
      <c r="I6" s="31">
        <v>9713.93</v>
      </c>
      <c r="J6" s="31">
        <f>56.36+3.82</f>
        <v>60.18</v>
      </c>
      <c r="K6" s="31">
        <f>SUM(H6:J6)+14.32</f>
        <v>188850.13</v>
      </c>
      <c r="L6" s="31">
        <f>7916+459.6</f>
        <v>8375.6</v>
      </c>
      <c r="M6" s="31">
        <f>503.6+486.8+27.36</f>
        <v>1017.7600000000001</v>
      </c>
      <c r="N6" s="32">
        <f t="shared" ref="N6:N71" si="0">SUM(K6:M6)</f>
        <v>198243.49000000002</v>
      </c>
    </row>
    <row r="7" spans="1:14" x14ac:dyDescent="0.25">
      <c r="A7" s="29" t="s">
        <v>22</v>
      </c>
      <c r="B7" s="30"/>
      <c r="C7" s="31">
        <v>1000</v>
      </c>
      <c r="D7" s="31">
        <v>0</v>
      </c>
      <c r="E7" s="31">
        <f t="shared" ref="E7" si="1">SUM(C7:D7)</f>
        <v>1000</v>
      </c>
      <c r="F7" s="31">
        <v>0</v>
      </c>
      <c r="G7" s="31">
        <v>0</v>
      </c>
      <c r="H7" s="31">
        <f>SUM(E7:G7)</f>
        <v>1000</v>
      </c>
      <c r="I7" s="31">
        <v>49452.37</v>
      </c>
      <c r="J7" s="31">
        <v>0</v>
      </c>
      <c r="K7" s="31">
        <f t="shared" ref="K7:K80" si="2">SUM(H7:J7)</f>
        <v>50452.37</v>
      </c>
      <c r="L7" s="31">
        <f>500</f>
        <v>500</v>
      </c>
      <c r="M7" s="31">
        <v>0</v>
      </c>
      <c r="N7" s="32">
        <f t="shared" si="0"/>
        <v>50952.37</v>
      </c>
    </row>
    <row r="8" spans="1:14" ht="15.75" thickBot="1" x14ac:dyDescent="0.3">
      <c r="A8" s="33" t="s">
        <v>23</v>
      </c>
      <c r="B8" s="34"/>
      <c r="C8" s="35">
        <v>146393.82999999999</v>
      </c>
      <c r="D8" s="35">
        <f>6518+1512</f>
        <v>8030</v>
      </c>
      <c r="E8" s="35">
        <f>SUM(C8:D8)+223.57</f>
        <v>154647.4</v>
      </c>
      <c r="F8" s="35">
        <v>0</v>
      </c>
      <c r="G8" s="35">
        <f>1678+100-45+64906.72+1253.45</f>
        <v>67893.17</v>
      </c>
      <c r="H8" s="35">
        <f>SUM(E8:G8)+5029.24</f>
        <v>227569.81</v>
      </c>
      <c r="I8" s="35">
        <v>6170.41</v>
      </c>
      <c r="J8" s="35">
        <f>1360+82.14+4093.05+654.04+1913.45</f>
        <v>8102.68</v>
      </c>
      <c r="K8" s="35">
        <f>SUM(H8:J8)+3344.57-2131.2</f>
        <v>243056.27</v>
      </c>
      <c r="L8" s="35">
        <f>706.06</f>
        <v>706.06</v>
      </c>
      <c r="M8" s="35">
        <f>2947.1-7413+1983.78+10484.77</f>
        <v>8002.6500000000005</v>
      </c>
      <c r="N8" s="36">
        <f t="shared" si="0"/>
        <v>251764.97999999998</v>
      </c>
    </row>
    <row r="9" spans="1:14" ht="16.5" customHeight="1" thickBot="1" x14ac:dyDescent="0.3">
      <c r="A9" s="37" t="s">
        <v>24</v>
      </c>
      <c r="B9" s="38"/>
      <c r="C9" s="39">
        <f t="shared" ref="C9:H9" si="3">SUM(C5:C8)</f>
        <v>1251095.6300000001</v>
      </c>
      <c r="D9" s="40">
        <f t="shared" si="3"/>
        <v>8192.0300000000007</v>
      </c>
      <c r="E9" s="39">
        <f t="shared" si="3"/>
        <v>1259605.3999999999</v>
      </c>
      <c r="F9" s="39">
        <f t="shared" si="3"/>
        <v>2524.0100000000002</v>
      </c>
      <c r="G9" s="39">
        <f t="shared" si="3"/>
        <v>67728.3</v>
      </c>
      <c r="H9" s="41">
        <f t="shared" si="3"/>
        <v>1334901.51</v>
      </c>
      <c r="I9" s="39">
        <f>SUM(I5:I8)</f>
        <v>65336.710000000006</v>
      </c>
      <c r="J9" s="39">
        <f>SUM(J5:J8)</f>
        <v>8162.8600000000006</v>
      </c>
      <c r="K9" s="39">
        <f>SUM(K5:K8)</f>
        <v>1409628.77</v>
      </c>
      <c r="L9" s="40">
        <f>SUM(L5:L8)</f>
        <v>61581.659999999996</v>
      </c>
      <c r="M9" s="39">
        <f>SUM(M5:M8)</f>
        <v>9020.41</v>
      </c>
      <c r="N9" s="42">
        <f t="shared" si="0"/>
        <v>1480230.8399999999</v>
      </c>
    </row>
    <row r="10" spans="1:14" ht="13.5" customHeight="1" thickBot="1" x14ac:dyDescent="0.3">
      <c r="A10" s="43"/>
      <c r="B10" s="44"/>
      <c r="C10" s="45"/>
      <c r="D10" s="46"/>
      <c r="E10" s="45"/>
      <c r="F10" s="45"/>
      <c r="G10" s="45"/>
      <c r="H10" s="47"/>
      <c r="I10" s="45"/>
      <c r="J10" s="45"/>
      <c r="K10" s="45"/>
      <c r="L10" s="46"/>
      <c r="M10" s="45"/>
      <c r="N10" s="48"/>
    </row>
    <row r="11" spans="1:14" ht="27.75" customHeight="1" thickBot="1" x14ac:dyDescent="0.3">
      <c r="A11" s="49" t="s">
        <v>25</v>
      </c>
      <c r="B11" s="50"/>
      <c r="C11" s="51"/>
      <c r="D11" s="52"/>
      <c r="E11" s="51"/>
      <c r="F11" s="51"/>
      <c r="G11" s="51"/>
      <c r="H11" s="53"/>
      <c r="I11" s="51"/>
      <c r="J11" s="51"/>
      <c r="K11" s="51"/>
      <c r="L11" s="52"/>
      <c r="M11" s="51"/>
      <c r="N11" s="54"/>
    </row>
    <row r="12" spans="1:14" x14ac:dyDescent="0.25">
      <c r="A12" s="55" t="s">
        <v>26</v>
      </c>
      <c r="B12" s="56"/>
      <c r="C12" s="57">
        <v>173947.22</v>
      </c>
      <c r="D12" s="57">
        <f>160+1116.95</f>
        <v>1276.95</v>
      </c>
      <c r="E12" s="57">
        <f>SUM(C12:D12)</f>
        <v>175224.17</v>
      </c>
      <c r="F12" s="57">
        <v>102517.99</v>
      </c>
      <c r="G12" s="57">
        <v>0</v>
      </c>
      <c r="H12" s="57">
        <f>SUM(E12:G12)</f>
        <v>277742.16000000003</v>
      </c>
      <c r="I12" s="57">
        <v>0</v>
      </c>
      <c r="J12" s="57">
        <v>0</v>
      </c>
      <c r="K12" s="58">
        <f>SUM(H12:J12)</f>
        <v>277742.16000000003</v>
      </c>
      <c r="L12" s="58">
        <v>0</v>
      </c>
      <c r="M12" s="58">
        <v>0</v>
      </c>
      <c r="N12" s="48">
        <f t="shared" si="0"/>
        <v>277742.16000000003</v>
      </c>
    </row>
    <row r="13" spans="1:14" x14ac:dyDescent="0.25">
      <c r="A13" s="29" t="s">
        <v>27</v>
      </c>
      <c r="B13" s="59"/>
      <c r="C13" s="60">
        <v>96184</v>
      </c>
      <c r="D13" s="60">
        <v>0</v>
      </c>
      <c r="E13" s="60">
        <f t="shared" ref="E13:E18" si="4">SUM(C13:D13)</f>
        <v>96184</v>
      </c>
      <c r="F13" s="60">
        <v>111459.92</v>
      </c>
      <c r="G13" s="60">
        <v>0</v>
      </c>
      <c r="H13" s="60">
        <f t="shared" ref="H13:H18" si="5">SUM(E13:G13)</f>
        <v>207643.91999999998</v>
      </c>
      <c r="I13" s="60">
        <v>0</v>
      </c>
      <c r="J13" s="60">
        <v>0</v>
      </c>
      <c r="K13" s="31">
        <f t="shared" si="2"/>
        <v>207643.91999999998</v>
      </c>
      <c r="L13" s="31">
        <v>0</v>
      </c>
      <c r="M13" s="31">
        <v>0</v>
      </c>
      <c r="N13" s="61">
        <f t="shared" si="0"/>
        <v>207643.91999999998</v>
      </c>
    </row>
    <row r="14" spans="1:14" ht="15" customHeight="1" x14ac:dyDescent="0.25">
      <c r="A14" s="29" t="s">
        <v>28</v>
      </c>
      <c r="B14" s="59"/>
      <c r="C14" s="60">
        <v>11066</v>
      </c>
      <c r="D14" s="60">
        <v>0</v>
      </c>
      <c r="E14" s="60">
        <f t="shared" si="4"/>
        <v>11066</v>
      </c>
      <c r="F14" s="60">
        <v>0</v>
      </c>
      <c r="G14" s="60">
        <v>0</v>
      </c>
      <c r="H14" s="60">
        <f t="shared" si="5"/>
        <v>11066</v>
      </c>
      <c r="I14" s="60">
        <v>0</v>
      </c>
      <c r="J14" s="60">
        <v>0</v>
      </c>
      <c r="K14" s="31">
        <f t="shared" si="2"/>
        <v>11066</v>
      </c>
      <c r="L14" s="31">
        <f>45</f>
        <v>45</v>
      </c>
      <c r="M14" s="31">
        <v>0</v>
      </c>
      <c r="N14" s="61">
        <f t="shared" si="0"/>
        <v>11111</v>
      </c>
    </row>
    <row r="15" spans="1:14" ht="26.25" customHeight="1" x14ac:dyDescent="0.25">
      <c r="A15" s="29" t="s">
        <v>29</v>
      </c>
      <c r="B15" s="59"/>
      <c r="C15" s="62">
        <v>0</v>
      </c>
      <c r="D15" s="62">
        <v>0</v>
      </c>
      <c r="E15" s="62">
        <f t="shared" si="4"/>
        <v>0</v>
      </c>
      <c r="F15" s="62">
        <v>0</v>
      </c>
      <c r="G15" s="62">
        <v>0</v>
      </c>
      <c r="H15" s="31">
        <f t="shared" si="5"/>
        <v>0</v>
      </c>
      <c r="I15" s="31">
        <v>0</v>
      </c>
      <c r="J15" s="31">
        <v>0</v>
      </c>
      <c r="K15" s="31">
        <f t="shared" si="2"/>
        <v>0</v>
      </c>
      <c r="L15" s="31">
        <v>0</v>
      </c>
      <c r="M15" s="31">
        <v>0</v>
      </c>
      <c r="N15" s="61">
        <f t="shared" si="0"/>
        <v>0</v>
      </c>
    </row>
    <row r="16" spans="1:14" ht="26.25" customHeight="1" x14ac:dyDescent="0.25">
      <c r="A16" s="29" t="s">
        <v>30</v>
      </c>
      <c r="B16" s="59"/>
      <c r="C16" s="62">
        <v>0</v>
      </c>
      <c r="D16" s="62">
        <v>0</v>
      </c>
      <c r="E16" s="62">
        <f t="shared" si="4"/>
        <v>0</v>
      </c>
      <c r="F16" s="62">
        <v>0</v>
      </c>
      <c r="G16" s="62">
        <v>0</v>
      </c>
      <c r="H16" s="31">
        <f t="shared" si="5"/>
        <v>0</v>
      </c>
      <c r="I16" s="31">
        <v>0</v>
      </c>
      <c r="J16" s="31">
        <v>0</v>
      </c>
      <c r="K16" s="31">
        <f t="shared" si="2"/>
        <v>0</v>
      </c>
      <c r="L16" s="31">
        <v>0</v>
      </c>
      <c r="M16" s="31">
        <v>0</v>
      </c>
      <c r="N16" s="61">
        <f t="shared" si="0"/>
        <v>0</v>
      </c>
    </row>
    <row r="17" spans="1:14" ht="16.5" customHeight="1" x14ac:dyDescent="0.25">
      <c r="A17" s="29" t="s">
        <v>31</v>
      </c>
      <c r="B17" s="59"/>
      <c r="C17" s="63">
        <v>600000</v>
      </c>
      <c r="D17" s="63">
        <v>0</v>
      </c>
      <c r="E17" s="63">
        <f t="shared" si="4"/>
        <v>600000</v>
      </c>
      <c r="F17" s="63">
        <v>0</v>
      </c>
      <c r="G17" s="63">
        <v>0</v>
      </c>
      <c r="H17" s="60">
        <f t="shared" si="5"/>
        <v>600000</v>
      </c>
      <c r="I17" s="60">
        <v>-600000</v>
      </c>
      <c r="J17" s="60">
        <v>0</v>
      </c>
      <c r="K17" s="31">
        <f t="shared" si="2"/>
        <v>0</v>
      </c>
      <c r="L17" s="31">
        <v>0</v>
      </c>
      <c r="M17" s="31">
        <v>0</v>
      </c>
      <c r="N17" s="61">
        <f t="shared" si="0"/>
        <v>0</v>
      </c>
    </row>
    <row r="18" spans="1:14" ht="15" customHeight="1" thickBot="1" x14ac:dyDescent="0.3">
      <c r="A18" s="43" t="s">
        <v>32</v>
      </c>
      <c r="B18" s="64"/>
      <c r="C18" s="65">
        <v>142212</v>
      </c>
      <c r="D18" s="65">
        <v>0</v>
      </c>
      <c r="E18" s="65">
        <f t="shared" si="4"/>
        <v>142212</v>
      </c>
      <c r="F18" s="65">
        <v>0</v>
      </c>
      <c r="G18" s="65">
        <v>0</v>
      </c>
      <c r="H18" s="65">
        <f t="shared" si="5"/>
        <v>142212</v>
      </c>
      <c r="I18" s="65">
        <v>-16953</v>
      </c>
      <c r="J18" s="65">
        <v>0</v>
      </c>
      <c r="K18" s="45">
        <f t="shared" si="2"/>
        <v>125259</v>
      </c>
      <c r="L18" s="45">
        <v>0</v>
      </c>
      <c r="M18" s="45">
        <v>0</v>
      </c>
      <c r="N18" s="66">
        <f t="shared" si="0"/>
        <v>125259</v>
      </c>
    </row>
    <row r="19" spans="1:14" ht="30.75" thickBot="1" x14ac:dyDescent="0.3">
      <c r="A19" s="49" t="s">
        <v>33</v>
      </c>
      <c r="B19" s="67"/>
      <c r="C19" s="68">
        <f>SUM(C12:C18)</f>
        <v>1023409.22</v>
      </c>
      <c r="D19" s="69">
        <f>SUM(D12:D18)</f>
        <v>1276.95</v>
      </c>
      <c r="E19" s="68">
        <f>SUM(C19:D19)</f>
        <v>1024686.1699999999</v>
      </c>
      <c r="F19" s="68">
        <f t="shared" ref="F19:K19" si="6">SUM(F12:F18)</f>
        <v>213977.91</v>
      </c>
      <c r="G19" s="68">
        <f t="shared" si="6"/>
        <v>0</v>
      </c>
      <c r="H19" s="70">
        <f t="shared" si="6"/>
        <v>1238664.08</v>
      </c>
      <c r="I19" s="68">
        <f t="shared" si="6"/>
        <v>-616953</v>
      </c>
      <c r="J19" s="68">
        <f t="shared" si="6"/>
        <v>0</v>
      </c>
      <c r="K19" s="68">
        <f t="shared" si="6"/>
        <v>621711.08000000007</v>
      </c>
      <c r="L19" s="69">
        <f>SUM(L12:L18)</f>
        <v>45</v>
      </c>
      <c r="M19" s="68">
        <f>SUM(M12:M18)</f>
        <v>0</v>
      </c>
      <c r="N19" s="71">
        <f t="shared" si="0"/>
        <v>621756.08000000007</v>
      </c>
    </row>
    <row r="20" spans="1:14" ht="17.25" customHeight="1" thickBot="1" x14ac:dyDescent="0.3">
      <c r="A20" s="72" t="s">
        <v>34</v>
      </c>
      <c r="B20" s="73"/>
      <c r="C20" s="74">
        <f t="shared" ref="C20:D20" si="7">SUM(C9+C19)</f>
        <v>2274504.85</v>
      </c>
      <c r="D20" s="75">
        <f t="shared" si="7"/>
        <v>9468.9800000000014</v>
      </c>
      <c r="E20" s="74">
        <f>SUM(C20:D20)</f>
        <v>2283973.83</v>
      </c>
      <c r="F20" s="74">
        <f>F9+F19</f>
        <v>216501.92</v>
      </c>
      <c r="G20" s="74">
        <f>SUM(G9+G19)</f>
        <v>67728.3</v>
      </c>
      <c r="H20" s="76">
        <f>H9+H19</f>
        <v>2573565.59</v>
      </c>
      <c r="I20" s="74">
        <f>I9+I19</f>
        <v>-551616.29</v>
      </c>
      <c r="J20" s="74">
        <f>SUM(J9+J19)</f>
        <v>8162.8600000000006</v>
      </c>
      <c r="K20" s="77">
        <f>SUM(K9+K19)</f>
        <v>2031339.85</v>
      </c>
      <c r="L20" s="78">
        <f>SUM(L9+L19)</f>
        <v>61626.659999999996</v>
      </c>
      <c r="M20" s="77">
        <f>SUM(M9+M19)</f>
        <v>9020.41</v>
      </c>
      <c r="N20" s="79">
        <f t="shared" si="0"/>
        <v>2101986.92</v>
      </c>
    </row>
    <row r="21" spans="1:14" ht="13.5" customHeight="1" thickBot="1" x14ac:dyDescent="0.3">
      <c r="A21" s="43"/>
      <c r="B21" s="80"/>
      <c r="C21" s="65"/>
      <c r="D21" s="81"/>
      <c r="E21" s="65"/>
      <c r="F21" s="65"/>
      <c r="G21" s="65"/>
      <c r="H21" s="82"/>
      <c r="I21" s="65"/>
      <c r="J21" s="65"/>
      <c r="K21" s="45"/>
      <c r="L21" s="46"/>
      <c r="M21" s="45"/>
      <c r="N21" s="48"/>
    </row>
    <row r="22" spans="1:14" ht="14.25" customHeight="1" thickBot="1" x14ac:dyDescent="0.3">
      <c r="A22" s="83" t="s">
        <v>35</v>
      </c>
      <c r="B22" s="84"/>
      <c r="C22" s="85"/>
      <c r="D22" s="86"/>
      <c r="E22" s="85"/>
      <c r="F22" s="85"/>
      <c r="G22" s="85"/>
      <c r="H22" s="87"/>
      <c r="I22" s="85"/>
      <c r="J22" s="85"/>
      <c r="K22" s="88"/>
      <c r="L22" s="89"/>
      <c r="M22" s="88"/>
      <c r="N22" s="90"/>
    </row>
    <row r="23" spans="1:14" ht="18" customHeight="1" thickBot="1" x14ac:dyDescent="0.3">
      <c r="A23" s="91" t="s">
        <v>36</v>
      </c>
      <c r="B23" s="92"/>
      <c r="C23" s="93">
        <f>SUM(C26:C51)</f>
        <v>6475</v>
      </c>
      <c r="D23" s="94">
        <f>SUM(D33:D51)</f>
        <v>0</v>
      </c>
      <c r="E23" s="93">
        <f>SUM(C23:D23)</f>
        <v>6475</v>
      </c>
      <c r="F23" s="93">
        <f>SUM(F33:F51)</f>
        <v>0</v>
      </c>
      <c r="G23" s="93">
        <f>SUM(G28:G51)</f>
        <v>-20</v>
      </c>
      <c r="H23" s="95">
        <f>SUM(H27:H51)</f>
        <v>6435</v>
      </c>
      <c r="I23" s="93">
        <f>SUM(I27:I51)</f>
        <v>0</v>
      </c>
      <c r="J23" s="93">
        <f>SUM(J27:J51)</f>
        <v>0</v>
      </c>
      <c r="K23" s="96">
        <f>SUM(K26:K51)</f>
        <v>6435</v>
      </c>
      <c r="L23" s="97">
        <f>SUM(L26:L51)</f>
        <v>0</v>
      </c>
      <c r="M23" s="96">
        <f>SUM(M25:M51)</f>
        <v>0</v>
      </c>
      <c r="N23" s="98">
        <f>SUM(K23:M23)</f>
        <v>6435</v>
      </c>
    </row>
    <row r="24" spans="1:14" x14ac:dyDescent="0.25">
      <c r="A24" s="99" t="s">
        <v>37</v>
      </c>
      <c r="B24" s="100"/>
      <c r="C24" s="57"/>
      <c r="D24" s="101"/>
      <c r="E24" s="57"/>
      <c r="F24" s="57"/>
      <c r="G24" s="57"/>
      <c r="H24" s="102"/>
      <c r="I24" s="57"/>
      <c r="J24" s="57"/>
      <c r="K24" s="58"/>
      <c r="L24" s="103"/>
      <c r="M24" s="58"/>
      <c r="N24" s="48"/>
    </row>
    <row r="25" spans="1:14" ht="25.5" x14ac:dyDescent="0.25">
      <c r="A25" s="104" t="s">
        <v>38</v>
      </c>
      <c r="B25" s="105" t="s">
        <v>39</v>
      </c>
      <c r="C25" s="27">
        <v>0</v>
      </c>
      <c r="D25" s="106"/>
      <c r="E25" s="107"/>
      <c r="F25" s="107"/>
      <c r="G25" s="107"/>
      <c r="H25" s="108"/>
      <c r="I25" s="107"/>
      <c r="J25" s="107"/>
      <c r="K25" s="27">
        <v>0</v>
      </c>
      <c r="L25" s="109">
        <v>0</v>
      </c>
      <c r="M25" s="27">
        <f>27.5</f>
        <v>27.5</v>
      </c>
      <c r="N25" s="66">
        <f>SUM(K25:M25)</f>
        <v>27.5</v>
      </c>
    </row>
    <row r="26" spans="1:14" ht="25.5" x14ac:dyDescent="0.25">
      <c r="A26" s="110" t="s">
        <v>40</v>
      </c>
      <c r="B26" s="111" t="s">
        <v>41</v>
      </c>
      <c r="C26" s="31">
        <v>0</v>
      </c>
      <c r="D26" s="112"/>
      <c r="E26" s="60"/>
      <c r="F26" s="60"/>
      <c r="G26" s="60"/>
      <c r="H26" s="113"/>
      <c r="I26" s="60"/>
      <c r="J26" s="60"/>
      <c r="K26" s="31">
        <f>20</f>
        <v>20</v>
      </c>
      <c r="L26" s="114">
        <v>0</v>
      </c>
      <c r="M26" s="31">
        <v>0</v>
      </c>
      <c r="N26" s="61">
        <f t="shared" si="0"/>
        <v>20</v>
      </c>
    </row>
    <row r="27" spans="1:14" ht="27" customHeight="1" x14ac:dyDescent="0.25">
      <c r="A27" s="115" t="s">
        <v>42</v>
      </c>
      <c r="B27" s="116" t="s">
        <v>43</v>
      </c>
      <c r="C27" s="31">
        <v>0</v>
      </c>
      <c r="D27" s="31"/>
      <c r="E27" s="31">
        <v>0</v>
      </c>
      <c r="F27" s="31">
        <v>0</v>
      </c>
      <c r="G27" s="31">
        <f>20</f>
        <v>20</v>
      </c>
      <c r="H27" s="31">
        <f>SUM(E27:G27)</f>
        <v>20</v>
      </c>
      <c r="I27" s="31">
        <v>0</v>
      </c>
      <c r="J27" s="31">
        <v>0</v>
      </c>
      <c r="K27" s="31">
        <f t="shared" si="2"/>
        <v>20</v>
      </c>
      <c r="L27" s="31">
        <v>0</v>
      </c>
      <c r="M27" s="31">
        <v>0</v>
      </c>
      <c r="N27" s="32">
        <f>SUM(K27:M27)</f>
        <v>20</v>
      </c>
    </row>
    <row r="28" spans="1:14" ht="30" customHeight="1" x14ac:dyDescent="0.25">
      <c r="A28" s="115" t="s">
        <v>44</v>
      </c>
      <c r="B28" s="116" t="s">
        <v>45</v>
      </c>
      <c r="C28" s="31">
        <v>0</v>
      </c>
      <c r="D28" s="31"/>
      <c r="E28" s="31">
        <v>0</v>
      </c>
      <c r="F28" s="31">
        <v>0</v>
      </c>
      <c r="G28" s="31">
        <f>30</f>
        <v>30</v>
      </c>
      <c r="H28" s="31">
        <f>SUM(E28:G28)</f>
        <v>30</v>
      </c>
      <c r="I28" s="31">
        <v>0</v>
      </c>
      <c r="J28" s="31">
        <v>0</v>
      </c>
      <c r="K28" s="31">
        <f t="shared" si="2"/>
        <v>30</v>
      </c>
      <c r="L28" s="31">
        <v>0</v>
      </c>
      <c r="M28" s="31">
        <v>0</v>
      </c>
      <c r="N28" s="32">
        <f t="shared" si="0"/>
        <v>30</v>
      </c>
    </row>
    <row r="29" spans="1:14" ht="25.5" x14ac:dyDescent="0.25">
      <c r="A29" s="115" t="s">
        <v>46</v>
      </c>
      <c r="B29" s="116" t="s">
        <v>41</v>
      </c>
      <c r="C29" s="31">
        <v>0</v>
      </c>
      <c r="D29" s="31"/>
      <c r="E29" s="31">
        <v>0</v>
      </c>
      <c r="F29" s="31">
        <v>0</v>
      </c>
      <c r="G29" s="31">
        <f>25</f>
        <v>25</v>
      </c>
      <c r="H29" s="31">
        <f>SUM(E29:G29)</f>
        <v>25</v>
      </c>
      <c r="I29" s="31">
        <v>0</v>
      </c>
      <c r="J29" s="31">
        <v>0</v>
      </c>
      <c r="K29" s="31">
        <f>SUM(H29:J29)</f>
        <v>25</v>
      </c>
      <c r="L29" s="31">
        <v>0</v>
      </c>
      <c r="M29" s="31">
        <v>0</v>
      </c>
      <c r="N29" s="32">
        <f t="shared" si="0"/>
        <v>25</v>
      </c>
    </row>
    <row r="30" spans="1:14" ht="40.5" customHeight="1" x14ac:dyDescent="0.25">
      <c r="A30" s="115" t="s">
        <v>47</v>
      </c>
      <c r="B30" s="116" t="s">
        <v>48</v>
      </c>
      <c r="C30" s="31">
        <v>0</v>
      </c>
      <c r="D30" s="31"/>
      <c r="E30" s="31"/>
      <c r="F30" s="31"/>
      <c r="G30" s="31"/>
      <c r="H30" s="31">
        <v>0</v>
      </c>
      <c r="I30" s="31">
        <v>0</v>
      </c>
      <c r="J30" s="31">
        <f>11</f>
        <v>11</v>
      </c>
      <c r="K30" s="31">
        <f>SUM(H30:J30)</f>
        <v>11</v>
      </c>
      <c r="L30" s="31">
        <v>0</v>
      </c>
      <c r="M30" s="31">
        <v>0</v>
      </c>
      <c r="N30" s="32">
        <f t="shared" si="0"/>
        <v>11</v>
      </c>
    </row>
    <row r="31" spans="1:14" ht="18" customHeight="1" x14ac:dyDescent="0.25">
      <c r="A31" s="115" t="s">
        <v>49</v>
      </c>
      <c r="B31" s="116" t="s">
        <v>50</v>
      </c>
      <c r="C31" s="31">
        <v>0</v>
      </c>
      <c r="D31" s="31"/>
      <c r="E31" s="31"/>
      <c r="F31" s="31"/>
      <c r="G31" s="31"/>
      <c r="H31" s="31"/>
      <c r="I31" s="31"/>
      <c r="J31" s="31"/>
      <c r="K31" s="31">
        <v>0</v>
      </c>
      <c r="L31" s="31">
        <v>0</v>
      </c>
      <c r="M31" s="31">
        <f>30</f>
        <v>30</v>
      </c>
      <c r="N31" s="32">
        <f>SUM(K31:M31)</f>
        <v>30</v>
      </c>
    </row>
    <row r="32" spans="1:14" ht="32.25" customHeight="1" x14ac:dyDescent="0.25">
      <c r="A32" s="115" t="s">
        <v>51</v>
      </c>
      <c r="B32" s="116" t="s">
        <v>45</v>
      </c>
      <c r="C32" s="31">
        <v>0</v>
      </c>
      <c r="D32" s="31"/>
      <c r="E32" s="31">
        <v>0</v>
      </c>
      <c r="F32" s="31">
        <v>0</v>
      </c>
      <c r="G32" s="31">
        <f>15</f>
        <v>15</v>
      </c>
      <c r="H32" s="31">
        <f>SUM(E32:G32)</f>
        <v>15</v>
      </c>
      <c r="I32" s="31">
        <v>0</v>
      </c>
      <c r="J32" s="31">
        <v>0</v>
      </c>
      <c r="K32" s="31">
        <f t="shared" si="2"/>
        <v>15</v>
      </c>
      <c r="L32" s="31">
        <v>0</v>
      </c>
      <c r="M32" s="31">
        <v>0</v>
      </c>
      <c r="N32" s="32">
        <f t="shared" si="0"/>
        <v>15</v>
      </c>
    </row>
    <row r="33" spans="1:14" ht="51.75" customHeight="1" x14ac:dyDescent="0.25">
      <c r="A33" s="115" t="s">
        <v>52</v>
      </c>
      <c r="B33" s="116" t="s">
        <v>53</v>
      </c>
      <c r="C33" s="62">
        <v>0</v>
      </c>
      <c r="D33" s="62">
        <f>40</f>
        <v>40</v>
      </c>
      <c r="E33" s="62">
        <f>SUM(C33:D33)</f>
        <v>40</v>
      </c>
      <c r="F33" s="62">
        <v>0</v>
      </c>
      <c r="G33" s="62">
        <v>0</v>
      </c>
      <c r="H33" s="62">
        <f>SUM(E33:G33)</f>
        <v>40</v>
      </c>
      <c r="I33" s="62">
        <v>0</v>
      </c>
      <c r="J33" s="62">
        <v>0</v>
      </c>
      <c r="K33" s="31">
        <f t="shared" si="2"/>
        <v>40</v>
      </c>
      <c r="L33" s="31">
        <v>0</v>
      </c>
      <c r="M33" s="31">
        <v>0</v>
      </c>
      <c r="N33" s="32">
        <f t="shared" si="0"/>
        <v>40</v>
      </c>
    </row>
    <row r="34" spans="1:14" ht="24.75" customHeight="1" x14ac:dyDescent="0.25">
      <c r="A34" s="115" t="s">
        <v>54</v>
      </c>
      <c r="B34" s="116" t="s">
        <v>45</v>
      </c>
      <c r="C34" s="62">
        <v>0</v>
      </c>
      <c r="D34" s="62">
        <f>50</f>
        <v>50</v>
      </c>
      <c r="E34" s="62">
        <f>SUM(C34:D34)</f>
        <v>50</v>
      </c>
      <c r="F34" s="62">
        <v>0</v>
      </c>
      <c r="G34" s="62">
        <v>0</v>
      </c>
      <c r="H34" s="62">
        <f t="shared" ref="H34:H48" si="8">SUM(E34:G34)</f>
        <v>50</v>
      </c>
      <c r="I34" s="62">
        <v>0</v>
      </c>
      <c r="J34" s="62">
        <v>0</v>
      </c>
      <c r="K34" s="31">
        <f t="shared" si="2"/>
        <v>50</v>
      </c>
      <c r="L34" s="31">
        <v>0</v>
      </c>
      <c r="M34" s="31">
        <v>0</v>
      </c>
      <c r="N34" s="32">
        <f t="shared" si="0"/>
        <v>50</v>
      </c>
    </row>
    <row r="35" spans="1:14" ht="28.5" customHeight="1" x14ac:dyDescent="0.25">
      <c r="A35" s="115" t="s">
        <v>55</v>
      </c>
      <c r="B35" s="116" t="s">
        <v>56</v>
      </c>
      <c r="C35" s="62">
        <v>0</v>
      </c>
      <c r="D35" s="62"/>
      <c r="E35" s="62">
        <v>0</v>
      </c>
      <c r="F35" s="62">
        <v>0</v>
      </c>
      <c r="G35" s="62">
        <f>20</f>
        <v>20</v>
      </c>
      <c r="H35" s="62">
        <f>SUM(E35:G35)</f>
        <v>20</v>
      </c>
      <c r="I35" s="62">
        <v>0</v>
      </c>
      <c r="J35" s="62">
        <v>0</v>
      </c>
      <c r="K35" s="31">
        <f>SUM(H35:J35)-7.9</f>
        <v>12.1</v>
      </c>
      <c r="L35" s="31">
        <v>0</v>
      </c>
      <c r="M35" s="31">
        <v>0</v>
      </c>
      <c r="N35" s="32">
        <f t="shared" si="0"/>
        <v>12.1</v>
      </c>
    </row>
    <row r="36" spans="1:14" ht="28.5" customHeight="1" x14ac:dyDescent="0.25">
      <c r="A36" s="115" t="s">
        <v>57</v>
      </c>
      <c r="B36" s="116" t="s">
        <v>41</v>
      </c>
      <c r="C36" s="62">
        <v>0</v>
      </c>
      <c r="D36" s="62"/>
      <c r="E36" s="62"/>
      <c r="F36" s="62"/>
      <c r="G36" s="62"/>
      <c r="H36" s="62">
        <v>0</v>
      </c>
      <c r="I36" s="62">
        <v>0</v>
      </c>
      <c r="J36" s="62">
        <f>20</f>
        <v>20</v>
      </c>
      <c r="K36" s="31">
        <f>SUM(H36:J36)</f>
        <v>20</v>
      </c>
      <c r="L36" s="31">
        <v>0</v>
      </c>
      <c r="M36" s="31">
        <v>0</v>
      </c>
      <c r="N36" s="32">
        <f t="shared" si="0"/>
        <v>20</v>
      </c>
    </row>
    <row r="37" spans="1:14" ht="28.5" customHeight="1" x14ac:dyDescent="0.25">
      <c r="A37" s="115" t="s">
        <v>58</v>
      </c>
      <c r="B37" s="116" t="s">
        <v>59</v>
      </c>
      <c r="C37" s="62">
        <v>0</v>
      </c>
      <c r="D37" s="62"/>
      <c r="E37" s="62"/>
      <c r="F37" s="62"/>
      <c r="G37" s="62"/>
      <c r="H37" s="62"/>
      <c r="I37" s="62"/>
      <c r="J37" s="62"/>
      <c r="K37" s="31">
        <f>24.5</f>
        <v>24.5</v>
      </c>
      <c r="L37" s="31">
        <v>0</v>
      </c>
      <c r="M37" s="31">
        <v>0</v>
      </c>
      <c r="N37" s="32">
        <f t="shared" si="0"/>
        <v>24.5</v>
      </c>
    </row>
    <row r="38" spans="1:14" ht="27.75" customHeight="1" x14ac:dyDescent="0.25">
      <c r="A38" s="117" t="s">
        <v>60</v>
      </c>
      <c r="B38" s="116" t="s">
        <v>43</v>
      </c>
      <c r="C38" s="62">
        <v>0</v>
      </c>
      <c r="D38" s="62">
        <f>50</f>
        <v>50</v>
      </c>
      <c r="E38" s="62">
        <f t="shared" ref="E38" si="9">SUM(C38:D38)</f>
        <v>50</v>
      </c>
      <c r="F38" s="62">
        <v>0</v>
      </c>
      <c r="G38" s="62">
        <v>0</v>
      </c>
      <c r="H38" s="62">
        <f t="shared" si="8"/>
        <v>50</v>
      </c>
      <c r="I38" s="62">
        <v>0</v>
      </c>
      <c r="J38" s="62">
        <v>0</v>
      </c>
      <c r="K38" s="31">
        <f t="shared" si="2"/>
        <v>50</v>
      </c>
      <c r="L38" s="31">
        <v>0</v>
      </c>
      <c r="M38" s="31">
        <v>0</v>
      </c>
      <c r="N38" s="32">
        <f t="shared" si="0"/>
        <v>50</v>
      </c>
    </row>
    <row r="39" spans="1:14" ht="37.5" customHeight="1" x14ac:dyDescent="0.25">
      <c r="A39" s="117" t="s">
        <v>61</v>
      </c>
      <c r="B39" s="116" t="s">
        <v>53</v>
      </c>
      <c r="C39" s="62">
        <v>0</v>
      </c>
      <c r="D39" s="62"/>
      <c r="E39" s="62">
        <v>0</v>
      </c>
      <c r="F39" s="62">
        <v>0</v>
      </c>
      <c r="G39" s="62">
        <f>30</f>
        <v>30</v>
      </c>
      <c r="H39" s="62">
        <f>SUM(E39:G39)</f>
        <v>30</v>
      </c>
      <c r="I39" s="62">
        <v>0</v>
      </c>
      <c r="J39" s="62">
        <v>0</v>
      </c>
      <c r="K39" s="31">
        <f t="shared" si="2"/>
        <v>30</v>
      </c>
      <c r="L39" s="31">
        <v>0</v>
      </c>
      <c r="M39" s="31">
        <v>0</v>
      </c>
      <c r="N39" s="32">
        <f t="shared" si="0"/>
        <v>30</v>
      </c>
    </row>
    <row r="40" spans="1:14" ht="30" customHeight="1" x14ac:dyDescent="0.25">
      <c r="A40" s="117" t="s">
        <v>62</v>
      </c>
      <c r="B40" s="116" t="s">
        <v>63</v>
      </c>
      <c r="C40" s="62">
        <v>0</v>
      </c>
      <c r="D40" s="62"/>
      <c r="E40" s="62">
        <v>0</v>
      </c>
      <c r="F40" s="62">
        <v>0</v>
      </c>
      <c r="G40" s="62">
        <f>50</f>
        <v>50</v>
      </c>
      <c r="H40" s="62">
        <f>SUM(E40:G40)</f>
        <v>50</v>
      </c>
      <c r="I40" s="62">
        <v>0</v>
      </c>
      <c r="J40" s="62">
        <v>0</v>
      </c>
      <c r="K40" s="31">
        <f t="shared" si="2"/>
        <v>50</v>
      </c>
      <c r="L40" s="31">
        <v>0</v>
      </c>
      <c r="M40" s="31">
        <v>0</v>
      </c>
      <c r="N40" s="32">
        <f t="shared" si="0"/>
        <v>50</v>
      </c>
    </row>
    <row r="41" spans="1:14" ht="27.75" customHeight="1" x14ac:dyDescent="0.25">
      <c r="A41" s="117" t="s">
        <v>64</v>
      </c>
      <c r="B41" s="116" t="s">
        <v>41</v>
      </c>
      <c r="C41" s="62">
        <v>0</v>
      </c>
      <c r="D41" s="62"/>
      <c r="E41" s="62">
        <f>25</f>
        <v>25</v>
      </c>
      <c r="F41" s="62">
        <v>0</v>
      </c>
      <c r="G41" s="62">
        <v>0</v>
      </c>
      <c r="H41" s="62">
        <f t="shared" si="8"/>
        <v>25</v>
      </c>
      <c r="I41" s="62">
        <v>0</v>
      </c>
      <c r="J41" s="62">
        <v>0</v>
      </c>
      <c r="K41" s="31">
        <f t="shared" si="2"/>
        <v>25</v>
      </c>
      <c r="L41" s="31">
        <v>0</v>
      </c>
      <c r="M41" s="31">
        <v>0</v>
      </c>
      <c r="N41" s="32">
        <f t="shared" si="0"/>
        <v>25</v>
      </c>
    </row>
    <row r="42" spans="1:14" ht="39.75" customHeight="1" x14ac:dyDescent="0.25">
      <c r="A42" s="117" t="s">
        <v>65</v>
      </c>
      <c r="B42" s="116" t="s">
        <v>53</v>
      </c>
      <c r="C42" s="62">
        <v>0</v>
      </c>
      <c r="D42" s="62"/>
      <c r="E42" s="62">
        <v>0</v>
      </c>
      <c r="F42" s="62">
        <v>0</v>
      </c>
      <c r="G42" s="62">
        <f>30</f>
        <v>30</v>
      </c>
      <c r="H42" s="62">
        <f>SUM(E42:G42)</f>
        <v>30</v>
      </c>
      <c r="I42" s="62">
        <v>0</v>
      </c>
      <c r="J42" s="62">
        <v>0</v>
      </c>
      <c r="K42" s="31">
        <f t="shared" si="2"/>
        <v>30</v>
      </c>
      <c r="L42" s="31">
        <v>0</v>
      </c>
      <c r="M42" s="31">
        <v>0</v>
      </c>
      <c r="N42" s="32">
        <f t="shared" si="0"/>
        <v>30</v>
      </c>
    </row>
    <row r="43" spans="1:14" ht="42" customHeight="1" x14ac:dyDescent="0.25">
      <c r="A43" s="117" t="s">
        <v>66</v>
      </c>
      <c r="B43" s="116" t="s">
        <v>63</v>
      </c>
      <c r="C43" s="62">
        <v>0</v>
      </c>
      <c r="D43" s="62"/>
      <c r="E43" s="62">
        <v>0</v>
      </c>
      <c r="F43" s="62">
        <v>0</v>
      </c>
      <c r="G43" s="62">
        <f>25</f>
        <v>25</v>
      </c>
      <c r="H43" s="62">
        <f>SUM(E43:G43)</f>
        <v>25</v>
      </c>
      <c r="I43" s="62">
        <v>0</v>
      </c>
      <c r="J43" s="62">
        <v>0</v>
      </c>
      <c r="K43" s="31">
        <f t="shared" si="2"/>
        <v>25</v>
      </c>
      <c r="L43" s="31">
        <v>0</v>
      </c>
      <c r="M43" s="31">
        <v>0</v>
      </c>
      <c r="N43" s="32">
        <f t="shared" si="0"/>
        <v>25</v>
      </c>
    </row>
    <row r="44" spans="1:14" ht="25.5" customHeight="1" x14ac:dyDescent="0.25">
      <c r="A44" s="117" t="s">
        <v>67</v>
      </c>
      <c r="B44" s="116" t="s">
        <v>56</v>
      </c>
      <c r="C44" s="62">
        <v>0</v>
      </c>
      <c r="D44" s="62"/>
      <c r="E44" s="62">
        <v>0</v>
      </c>
      <c r="F44" s="62">
        <v>0</v>
      </c>
      <c r="G44" s="62">
        <f>30</f>
        <v>30</v>
      </c>
      <c r="H44" s="62">
        <f>SUM(E44:G44)</f>
        <v>30</v>
      </c>
      <c r="I44" s="62">
        <v>0</v>
      </c>
      <c r="J44" s="62">
        <v>0</v>
      </c>
      <c r="K44" s="31">
        <f>SUM(H44:J44)</f>
        <v>30</v>
      </c>
      <c r="L44" s="31">
        <v>0</v>
      </c>
      <c r="M44" s="31">
        <v>0</v>
      </c>
      <c r="N44" s="32">
        <f t="shared" si="0"/>
        <v>30</v>
      </c>
    </row>
    <row r="45" spans="1:14" ht="25.5" customHeight="1" x14ac:dyDescent="0.25">
      <c r="A45" s="117" t="s">
        <v>68</v>
      </c>
      <c r="B45" s="116" t="s">
        <v>53</v>
      </c>
      <c r="C45" s="62">
        <v>0</v>
      </c>
      <c r="D45" s="62"/>
      <c r="E45" s="62"/>
      <c r="F45" s="62"/>
      <c r="G45" s="62"/>
      <c r="H45" s="62">
        <v>0</v>
      </c>
      <c r="I45" s="62">
        <v>0</v>
      </c>
      <c r="J45" s="62">
        <f>14</f>
        <v>14</v>
      </c>
      <c r="K45" s="31">
        <f>SUM(H45:J45)</f>
        <v>14</v>
      </c>
      <c r="L45" s="31">
        <v>0</v>
      </c>
      <c r="M45" s="31">
        <v>0</v>
      </c>
      <c r="N45" s="32">
        <f t="shared" si="0"/>
        <v>14</v>
      </c>
    </row>
    <row r="46" spans="1:14" ht="25.5" customHeight="1" x14ac:dyDescent="0.25">
      <c r="A46" s="117" t="s">
        <v>69</v>
      </c>
      <c r="B46" s="116" t="s">
        <v>63</v>
      </c>
      <c r="C46" s="62">
        <v>0</v>
      </c>
      <c r="D46" s="62"/>
      <c r="E46" s="62"/>
      <c r="F46" s="62"/>
      <c r="G46" s="62"/>
      <c r="H46" s="62">
        <v>0</v>
      </c>
      <c r="I46" s="62">
        <v>0</v>
      </c>
      <c r="J46" s="62">
        <f>20</f>
        <v>20</v>
      </c>
      <c r="K46" s="31">
        <f>SUM(H46:J46)</f>
        <v>20</v>
      </c>
      <c r="L46" s="31">
        <v>0</v>
      </c>
      <c r="M46" s="31">
        <v>0</v>
      </c>
      <c r="N46" s="32">
        <f t="shared" si="0"/>
        <v>20</v>
      </c>
    </row>
    <row r="47" spans="1:14" ht="15.75" customHeight="1" x14ac:dyDescent="0.25">
      <c r="A47" s="117" t="s">
        <v>70</v>
      </c>
      <c r="B47" s="116" t="s">
        <v>45</v>
      </c>
      <c r="C47" s="62">
        <v>0</v>
      </c>
      <c r="D47" s="62"/>
      <c r="E47" s="62">
        <v>0</v>
      </c>
      <c r="F47" s="62">
        <v>0</v>
      </c>
      <c r="G47" s="62">
        <f>50</f>
        <v>50</v>
      </c>
      <c r="H47" s="62">
        <f>SUM(E47:G47)</f>
        <v>50</v>
      </c>
      <c r="I47" s="62">
        <v>0</v>
      </c>
      <c r="J47" s="62">
        <v>0</v>
      </c>
      <c r="K47" s="31">
        <f t="shared" si="2"/>
        <v>50</v>
      </c>
      <c r="L47" s="31">
        <v>0</v>
      </c>
      <c r="M47" s="31">
        <v>0</v>
      </c>
      <c r="N47" s="32">
        <f t="shared" si="0"/>
        <v>50</v>
      </c>
    </row>
    <row r="48" spans="1:14" ht="19.5" customHeight="1" x14ac:dyDescent="0.25">
      <c r="A48" s="117" t="s">
        <v>71</v>
      </c>
      <c r="B48" s="116" t="s">
        <v>63</v>
      </c>
      <c r="C48" s="62">
        <v>0</v>
      </c>
      <c r="D48" s="62"/>
      <c r="E48" s="62">
        <v>0</v>
      </c>
      <c r="F48" s="62">
        <v>60</v>
      </c>
      <c r="G48" s="62">
        <v>0</v>
      </c>
      <c r="H48" s="62">
        <f t="shared" si="8"/>
        <v>60</v>
      </c>
      <c r="I48" s="62">
        <v>0</v>
      </c>
      <c r="J48" s="62">
        <v>0</v>
      </c>
      <c r="K48" s="31">
        <f t="shared" si="2"/>
        <v>60</v>
      </c>
      <c r="L48" s="31">
        <v>0</v>
      </c>
      <c r="M48" s="31">
        <v>0</v>
      </c>
      <c r="N48" s="32">
        <f t="shared" si="0"/>
        <v>60</v>
      </c>
    </row>
    <row r="49" spans="1:14" ht="39.75" customHeight="1" x14ac:dyDescent="0.25">
      <c r="A49" s="117" t="s">
        <v>72</v>
      </c>
      <c r="B49" s="116" t="s">
        <v>45</v>
      </c>
      <c r="C49" s="62">
        <v>0</v>
      </c>
      <c r="D49" s="62"/>
      <c r="E49" s="62"/>
      <c r="F49" s="62"/>
      <c r="G49" s="62"/>
      <c r="H49" s="62">
        <v>0</v>
      </c>
      <c r="I49" s="62">
        <v>100</v>
      </c>
      <c r="J49" s="62">
        <v>0</v>
      </c>
      <c r="K49" s="31">
        <f t="shared" si="2"/>
        <v>100</v>
      </c>
      <c r="L49" s="31">
        <v>0</v>
      </c>
      <c r="M49" s="31">
        <v>0</v>
      </c>
      <c r="N49" s="32">
        <f t="shared" si="0"/>
        <v>100</v>
      </c>
    </row>
    <row r="50" spans="1:14" ht="39" customHeight="1" x14ac:dyDescent="0.25">
      <c r="A50" s="117" t="s">
        <v>73</v>
      </c>
      <c r="B50" s="116" t="s">
        <v>63</v>
      </c>
      <c r="C50" s="62">
        <v>0</v>
      </c>
      <c r="D50" s="62"/>
      <c r="E50" s="62"/>
      <c r="F50" s="62"/>
      <c r="G50" s="62"/>
      <c r="H50" s="62">
        <v>0</v>
      </c>
      <c r="I50" s="62">
        <v>88</v>
      </c>
      <c r="J50" s="62">
        <v>0</v>
      </c>
      <c r="K50" s="31">
        <f t="shared" si="2"/>
        <v>88</v>
      </c>
      <c r="L50" s="31">
        <v>0</v>
      </c>
      <c r="M50" s="31">
        <v>0</v>
      </c>
      <c r="N50" s="32">
        <f t="shared" si="0"/>
        <v>88</v>
      </c>
    </row>
    <row r="51" spans="1:14" ht="17.25" customHeight="1" thickBot="1" x14ac:dyDescent="0.3">
      <c r="A51" s="118" t="s">
        <v>74</v>
      </c>
      <c r="B51" s="119"/>
      <c r="C51" s="35">
        <v>6475</v>
      </c>
      <c r="D51" s="35">
        <f>-40-100</f>
        <v>-140</v>
      </c>
      <c r="E51" s="120">
        <f>SUM(C51:D51)-65</f>
        <v>6270</v>
      </c>
      <c r="F51" s="120">
        <v>-60</v>
      </c>
      <c r="G51" s="120">
        <f>-155-50-70-50</f>
        <v>-325</v>
      </c>
      <c r="H51" s="120">
        <f>SUM(E51:G51)</f>
        <v>5885</v>
      </c>
      <c r="I51" s="120">
        <f>-100-88</f>
        <v>-188</v>
      </c>
      <c r="J51" s="120">
        <f>-11-14-40</f>
        <v>-65</v>
      </c>
      <c r="K51" s="35">
        <f>SUM(H51:J51)-12.1-24.5</f>
        <v>5595.4</v>
      </c>
      <c r="L51" s="35">
        <v>0</v>
      </c>
      <c r="M51" s="35">
        <f>-57.5</f>
        <v>-57.5</v>
      </c>
      <c r="N51" s="36">
        <f t="shared" si="0"/>
        <v>5537.9</v>
      </c>
    </row>
    <row r="52" spans="1:14" ht="16.5" customHeight="1" thickBot="1" x14ac:dyDescent="0.3">
      <c r="A52" s="121" t="s">
        <v>75</v>
      </c>
      <c r="B52" s="122"/>
      <c r="C52" s="96">
        <f>SUM(C54:C57)</f>
        <v>288995</v>
      </c>
      <c r="D52" s="97">
        <f>SUM(D54:D57)</f>
        <v>5.5</v>
      </c>
      <c r="E52" s="96">
        <f>SUM(C52:D52)</f>
        <v>289000.5</v>
      </c>
      <c r="F52" s="96">
        <f t="shared" ref="F52:L52" si="10">SUM(F54:F57)</f>
        <v>45.6</v>
      </c>
      <c r="G52" s="96">
        <f t="shared" si="10"/>
        <v>18638.97</v>
      </c>
      <c r="H52" s="123">
        <f t="shared" si="10"/>
        <v>312081.31000000006</v>
      </c>
      <c r="I52" s="96">
        <f t="shared" si="10"/>
        <v>10.7</v>
      </c>
      <c r="J52" s="96">
        <f t="shared" si="10"/>
        <v>1220.18</v>
      </c>
      <c r="K52" s="96">
        <f t="shared" si="10"/>
        <v>313326.51</v>
      </c>
      <c r="L52" s="96">
        <f t="shared" si="10"/>
        <v>0</v>
      </c>
      <c r="M52" s="96">
        <f>SUM(M54:M57)</f>
        <v>1871.3600000000001</v>
      </c>
      <c r="N52" s="124">
        <f t="shared" si="0"/>
        <v>315197.87</v>
      </c>
    </row>
    <row r="53" spans="1:14" ht="14.25" customHeight="1" x14ac:dyDescent="0.25">
      <c r="A53" s="125" t="s">
        <v>37</v>
      </c>
      <c r="B53" s="1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8"/>
    </row>
    <row r="54" spans="1:14" ht="16.5" customHeight="1" x14ac:dyDescent="0.25">
      <c r="A54" s="115" t="s">
        <v>76</v>
      </c>
      <c r="B54" s="116"/>
      <c r="C54" s="31">
        <v>0</v>
      </c>
      <c r="D54" s="31">
        <v>0</v>
      </c>
      <c r="E54" s="31">
        <f>SUM(C54:D54)</f>
        <v>0</v>
      </c>
      <c r="F54" s="31">
        <v>0</v>
      </c>
      <c r="G54" s="31">
        <f>18612.4</f>
        <v>18612.400000000001</v>
      </c>
      <c r="H54" s="31">
        <f>SUM(E54:G54)+4396.24</f>
        <v>23008.639999999999</v>
      </c>
      <c r="I54" s="31">
        <v>0</v>
      </c>
      <c r="J54" s="31">
        <f>1303</f>
        <v>1303</v>
      </c>
      <c r="K54" s="31">
        <f t="shared" si="2"/>
        <v>24311.64</v>
      </c>
      <c r="L54" s="31">
        <v>0</v>
      </c>
      <c r="M54" s="31">
        <f>1844</f>
        <v>1844</v>
      </c>
      <c r="N54" s="32">
        <f t="shared" si="0"/>
        <v>26155.64</v>
      </c>
    </row>
    <row r="55" spans="1:14" ht="17.25" customHeight="1" x14ac:dyDescent="0.25">
      <c r="A55" s="115" t="s">
        <v>77</v>
      </c>
      <c r="B55" s="116"/>
      <c r="C55" s="31">
        <v>700</v>
      </c>
      <c r="D55" s="31">
        <f>5.5</f>
        <v>5.5</v>
      </c>
      <c r="E55" s="31">
        <f>SUM(C55:D55)</f>
        <v>705.5</v>
      </c>
      <c r="F55" s="31">
        <v>35.700000000000003</v>
      </c>
      <c r="G55" s="31">
        <f>21.44+5.13</f>
        <v>26.57</v>
      </c>
      <c r="H55" s="31">
        <f t="shared" ref="H55:H56" si="11">SUM(E55:G55)</f>
        <v>767.7700000000001</v>
      </c>
      <c r="I55" s="31">
        <v>0</v>
      </c>
      <c r="J55" s="31">
        <f>28.36+3.82</f>
        <v>32.18</v>
      </c>
      <c r="K55" s="31">
        <f>SUM(H55:J55)+14.32</f>
        <v>814.2700000000001</v>
      </c>
      <c r="L55" s="31">
        <v>0</v>
      </c>
      <c r="M55" s="31">
        <f>200+27.36</f>
        <v>227.36</v>
      </c>
      <c r="N55" s="32">
        <f t="shared" si="0"/>
        <v>1041.6300000000001</v>
      </c>
    </row>
    <row r="56" spans="1:14" ht="15.75" customHeight="1" x14ac:dyDescent="0.25">
      <c r="A56" s="115" t="s">
        <v>78</v>
      </c>
      <c r="B56" s="116"/>
      <c r="C56" s="31">
        <v>10666</v>
      </c>
      <c r="D56" s="31">
        <v>0</v>
      </c>
      <c r="E56" s="31">
        <f t="shared" ref="E56:E57" si="12">SUM(C56:D56)</f>
        <v>10666</v>
      </c>
      <c r="F56" s="31">
        <v>0</v>
      </c>
      <c r="G56" s="31">
        <v>0</v>
      </c>
      <c r="H56" s="31">
        <f t="shared" si="11"/>
        <v>10666</v>
      </c>
      <c r="I56" s="31">
        <v>0</v>
      </c>
      <c r="J56" s="31">
        <f>-115</f>
        <v>-115</v>
      </c>
      <c r="K56" s="31">
        <f t="shared" si="2"/>
        <v>10551</v>
      </c>
      <c r="L56" s="31">
        <v>0</v>
      </c>
      <c r="M56" s="31">
        <v>0</v>
      </c>
      <c r="N56" s="32">
        <f t="shared" si="0"/>
        <v>10551</v>
      </c>
    </row>
    <row r="57" spans="1:14" ht="15.75" thickBot="1" x14ac:dyDescent="0.3">
      <c r="A57" s="118" t="s">
        <v>79</v>
      </c>
      <c r="B57" s="119"/>
      <c r="C57" s="35">
        <v>277629</v>
      </c>
      <c r="D57" s="35">
        <v>0</v>
      </c>
      <c r="E57" s="35">
        <f t="shared" si="12"/>
        <v>277629</v>
      </c>
      <c r="F57" s="35">
        <v>9.9</v>
      </c>
      <c r="G57" s="35">
        <v>0</v>
      </c>
      <c r="H57" s="35">
        <f>SUM(E57:G57)</f>
        <v>277638.90000000002</v>
      </c>
      <c r="I57" s="35">
        <v>10.7</v>
      </c>
      <c r="J57" s="35">
        <v>0</v>
      </c>
      <c r="K57" s="35">
        <f t="shared" si="2"/>
        <v>277649.60000000003</v>
      </c>
      <c r="L57" s="35">
        <v>0</v>
      </c>
      <c r="M57" s="35">
        <f>-200</f>
        <v>-200</v>
      </c>
      <c r="N57" s="36">
        <f t="shared" si="0"/>
        <v>277449.60000000003</v>
      </c>
    </row>
    <row r="58" spans="1:14" ht="15.75" customHeight="1" thickBot="1" x14ac:dyDescent="0.3">
      <c r="A58" s="91" t="s">
        <v>80</v>
      </c>
      <c r="B58" s="127"/>
      <c r="C58" s="96">
        <f>SUM(C60:C68)</f>
        <v>41816.560000000005</v>
      </c>
      <c r="D58" s="96">
        <f>SUM(D60:D68)</f>
        <v>1363.56</v>
      </c>
      <c r="E58" s="96">
        <f>SUM(C58:D58)</f>
        <v>43180.12</v>
      </c>
      <c r="F58" s="96">
        <f t="shared" ref="F58:L58" si="13">SUM(F60:F68)</f>
        <v>-15879.07</v>
      </c>
      <c r="G58" s="96">
        <f t="shared" si="13"/>
        <v>-86.61</v>
      </c>
      <c r="H58" s="96">
        <f t="shared" si="13"/>
        <v>27214.440000000002</v>
      </c>
      <c r="I58" s="96">
        <f t="shared" si="13"/>
        <v>3415.66</v>
      </c>
      <c r="J58" s="96">
        <f t="shared" si="13"/>
        <v>0</v>
      </c>
      <c r="K58" s="96">
        <f t="shared" si="13"/>
        <v>30630.1</v>
      </c>
      <c r="L58" s="96">
        <f t="shared" si="13"/>
        <v>50259.06</v>
      </c>
      <c r="M58" s="96">
        <f>SUM(M60:M68)</f>
        <v>0</v>
      </c>
      <c r="N58" s="128">
        <f t="shared" si="0"/>
        <v>80889.16</v>
      </c>
    </row>
    <row r="59" spans="1:14" x14ac:dyDescent="0.25">
      <c r="A59" s="125" t="s">
        <v>37</v>
      </c>
      <c r="B59" s="1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8"/>
    </row>
    <row r="60" spans="1:14" ht="16.5" customHeight="1" x14ac:dyDescent="0.25">
      <c r="A60" s="129" t="s">
        <v>81</v>
      </c>
      <c r="B60" s="130" t="s">
        <v>82</v>
      </c>
      <c r="C60" s="31">
        <v>0</v>
      </c>
      <c r="D60" s="31">
        <f>20</f>
        <v>20</v>
      </c>
      <c r="E60" s="31">
        <f>SUM(C60:D60)</f>
        <v>20</v>
      </c>
      <c r="F60" s="31">
        <v>0</v>
      </c>
      <c r="G60" s="31">
        <v>0</v>
      </c>
      <c r="H60" s="31">
        <f>SUM(E60:G60)</f>
        <v>20</v>
      </c>
      <c r="I60" s="31">
        <v>0</v>
      </c>
      <c r="J60" s="31">
        <v>0</v>
      </c>
      <c r="K60" s="31">
        <f t="shared" si="2"/>
        <v>20</v>
      </c>
      <c r="L60" s="31">
        <v>0</v>
      </c>
      <c r="M60" s="31">
        <v>0</v>
      </c>
      <c r="N60" s="32">
        <f t="shared" si="0"/>
        <v>20</v>
      </c>
    </row>
    <row r="61" spans="1:14" ht="16.5" customHeight="1" x14ac:dyDescent="0.25">
      <c r="A61" s="115" t="s">
        <v>83</v>
      </c>
      <c r="B61" s="116" t="s">
        <v>84</v>
      </c>
      <c r="C61" s="31">
        <v>12100</v>
      </c>
      <c r="D61" s="31">
        <v>0</v>
      </c>
      <c r="E61" s="31">
        <f t="shared" ref="E61:E68" si="14">SUM(C61:D61)</f>
        <v>12100</v>
      </c>
      <c r="F61" s="31">
        <v>0</v>
      </c>
      <c r="G61" s="31">
        <v>0</v>
      </c>
      <c r="H61" s="31">
        <f t="shared" ref="H61:H68" si="15">SUM(E61:G61)</f>
        <v>12100</v>
      </c>
      <c r="I61" s="31">
        <v>0</v>
      </c>
      <c r="J61" s="31">
        <v>0</v>
      </c>
      <c r="K61" s="31">
        <f t="shared" si="2"/>
        <v>12100</v>
      </c>
      <c r="L61" s="31">
        <v>3000</v>
      </c>
      <c r="M61" s="31">
        <v>0</v>
      </c>
      <c r="N61" s="32">
        <f t="shared" si="0"/>
        <v>15100</v>
      </c>
    </row>
    <row r="62" spans="1:14" ht="26.25" customHeight="1" x14ac:dyDescent="0.25">
      <c r="A62" s="115" t="s">
        <v>85</v>
      </c>
      <c r="B62" s="116"/>
      <c r="C62" s="31">
        <v>0</v>
      </c>
      <c r="D62" s="31"/>
      <c r="E62" s="31"/>
      <c r="F62" s="31"/>
      <c r="G62" s="31"/>
      <c r="H62" s="31">
        <v>0</v>
      </c>
      <c r="I62" s="31">
        <v>4000</v>
      </c>
      <c r="J62" s="31">
        <v>0</v>
      </c>
      <c r="K62" s="31">
        <f t="shared" si="2"/>
        <v>4000</v>
      </c>
      <c r="L62" s="31">
        <f>-4000</f>
        <v>-4000</v>
      </c>
      <c r="M62" s="31">
        <v>0</v>
      </c>
      <c r="N62" s="32">
        <f t="shared" si="0"/>
        <v>0</v>
      </c>
    </row>
    <row r="63" spans="1:14" ht="15.75" customHeight="1" x14ac:dyDescent="0.25">
      <c r="A63" s="115" t="s">
        <v>86</v>
      </c>
      <c r="B63" s="116"/>
      <c r="C63" s="31">
        <v>26353.66</v>
      </c>
      <c r="D63" s="31">
        <v>0</v>
      </c>
      <c r="E63" s="31">
        <f t="shared" si="14"/>
        <v>26353.66</v>
      </c>
      <c r="F63" s="31">
        <f>-7607.07-1000-700-9000</f>
        <v>-18307.07</v>
      </c>
      <c r="G63" s="31">
        <v>0</v>
      </c>
      <c r="H63" s="31">
        <f t="shared" si="15"/>
        <v>8046.59</v>
      </c>
      <c r="I63" s="31">
        <v>-584.34</v>
      </c>
      <c r="J63" s="31">
        <v>0</v>
      </c>
      <c r="K63" s="31">
        <f t="shared" si="2"/>
        <v>7462.25</v>
      </c>
      <c r="L63" s="31">
        <f>-1000-800</f>
        <v>-1800</v>
      </c>
      <c r="M63" s="31">
        <v>0</v>
      </c>
      <c r="N63" s="32">
        <f t="shared" si="0"/>
        <v>5662.25</v>
      </c>
    </row>
    <row r="64" spans="1:14" ht="16.5" customHeight="1" x14ac:dyDescent="0.25">
      <c r="A64" s="115" t="s">
        <v>87</v>
      </c>
      <c r="B64" s="116"/>
      <c r="C64" s="31">
        <v>200</v>
      </c>
      <c r="D64" s="31">
        <v>0</v>
      </c>
      <c r="E64" s="31">
        <f t="shared" si="14"/>
        <v>200</v>
      </c>
      <c r="F64" s="31">
        <v>0</v>
      </c>
      <c r="G64" s="31">
        <v>0</v>
      </c>
      <c r="H64" s="31">
        <f t="shared" si="15"/>
        <v>200</v>
      </c>
      <c r="I64" s="31">
        <v>0</v>
      </c>
      <c r="J64" s="31">
        <v>0</v>
      </c>
      <c r="K64" s="31">
        <f t="shared" si="2"/>
        <v>200</v>
      </c>
      <c r="L64" s="31">
        <v>0</v>
      </c>
      <c r="M64" s="31">
        <v>0</v>
      </c>
      <c r="N64" s="32">
        <f t="shared" si="0"/>
        <v>200</v>
      </c>
    </row>
    <row r="65" spans="1:14" ht="28.5" customHeight="1" x14ac:dyDescent="0.25">
      <c r="A65" s="115" t="s">
        <v>88</v>
      </c>
      <c r="B65" s="116"/>
      <c r="C65" s="31">
        <v>0</v>
      </c>
      <c r="D65" s="31"/>
      <c r="E65" s="31"/>
      <c r="F65" s="31"/>
      <c r="G65" s="31"/>
      <c r="H65" s="31"/>
      <c r="I65" s="31"/>
      <c r="J65" s="31"/>
      <c r="K65" s="31">
        <v>0</v>
      </c>
      <c r="L65" s="31">
        <f>1000</f>
        <v>1000</v>
      </c>
      <c r="M65" s="31">
        <v>0</v>
      </c>
      <c r="N65" s="32">
        <f t="shared" si="0"/>
        <v>1000</v>
      </c>
    </row>
    <row r="66" spans="1:14" ht="16.5" customHeight="1" x14ac:dyDescent="0.25">
      <c r="A66" s="115" t="s">
        <v>89</v>
      </c>
      <c r="B66" s="116"/>
      <c r="C66" s="31">
        <v>0</v>
      </c>
      <c r="D66" s="31"/>
      <c r="E66" s="31"/>
      <c r="F66" s="31"/>
      <c r="G66" s="31"/>
      <c r="H66" s="31"/>
      <c r="I66" s="31"/>
      <c r="J66" s="31"/>
      <c r="K66" s="31">
        <v>0</v>
      </c>
      <c r="L66" s="31">
        <f>52259.06</f>
        <v>52259.06</v>
      </c>
      <c r="M66" s="31">
        <v>0</v>
      </c>
      <c r="N66" s="32">
        <f t="shared" si="0"/>
        <v>52259.06</v>
      </c>
    </row>
    <row r="67" spans="1:14" ht="30" customHeight="1" x14ac:dyDescent="0.25">
      <c r="A67" s="115" t="s">
        <v>90</v>
      </c>
      <c r="B67" s="116"/>
      <c r="C67" s="31">
        <v>0</v>
      </c>
      <c r="D67" s="31"/>
      <c r="E67" s="31">
        <v>0</v>
      </c>
      <c r="F67" s="31">
        <v>1000</v>
      </c>
      <c r="G67" s="31">
        <v>0</v>
      </c>
      <c r="H67" s="31">
        <f t="shared" si="15"/>
        <v>1000</v>
      </c>
      <c r="I67" s="31">
        <v>0</v>
      </c>
      <c r="J67" s="31">
        <v>0</v>
      </c>
      <c r="K67" s="31">
        <f t="shared" si="2"/>
        <v>1000</v>
      </c>
      <c r="L67" s="31">
        <v>0</v>
      </c>
      <c r="M67" s="31">
        <v>0</v>
      </c>
      <c r="N67" s="32">
        <f t="shared" si="0"/>
        <v>1000</v>
      </c>
    </row>
    <row r="68" spans="1:14" ht="17.25" customHeight="1" thickBot="1" x14ac:dyDescent="0.3">
      <c r="A68" s="118" t="s">
        <v>91</v>
      </c>
      <c r="B68" s="119"/>
      <c r="C68" s="35">
        <v>3162.9</v>
      </c>
      <c r="D68" s="35">
        <f>17.84+228.77+1116.95-20</f>
        <v>1343.56</v>
      </c>
      <c r="E68" s="35">
        <f t="shared" si="14"/>
        <v>4506.46</v>
      </c>
      <c r="F68" s="35">
        <v>1428</v>
      </c>
      <c r="G68" s="35">
        <f>-86.61</f>
        <v>-86.61</v>
      </c>
      <c r="H68" s="35">
        <f t="shared" si="15"/>
        <v>5847.85</v>
      </c>
      <c r="I68" s="35">
        <v>0</v>
      </c>
      <c r="J68" s="35">
        <v>0</v>
      </c>
      <c r="K68" s="35">
        <f t="shared" si="2"/>
        <v>5847.85</v>
      </c>
      <c r="L68" s="35">
        <f>-200</f>
        <v>-200</v>
      </c>
      <c r="M68" s="35">
        <v>0</v>
      </c>
      <c r="N68" s="36">
        <f t="shared" si="0"/>
        <v>5647.85</v>
      </c>
    </row>
    <row r="69" spans="1:14" ht="17.25" customHeight="1" thickBot="1" x14ac:dyDescent="0.3">
      <c r="A69" s="91" t="s">
        <v>92</v>
      </c>
      <c r="B69" s="131"/>
      <c r="C69" s="96">
        <f>SUM(C71:C75)</f>
        <v>121341.05</v>
      </c>
      <c r="D69" s="96">
        <f>SUM(D71:D75)</f>
        <v>-7463.3</v>
      </c>
      <c r="E69" s="96">
        <f>SUM(C69:D69)</f>
        <v>113877.75</v>
      </c>
      <c r="F69" s="96">
        <f t="shared" ref="F69:L69" si="16">SUM(F71:F75)</f>
        <v>4785.78</v>
      </c>
      <c r="G69" s="96">
        <f t="shared" si="16"/>
        <v>-4242.83</v>
      </c>
      <c r="H69" s="96">
        <f t="shared" si="16"/>
        <v>114329.75999999998</v>
      </c>
      <c r="I69" s="96">
        <f t="shared" si="16"/>
        <v>5118.1000000000004</v>
      </c>
      <c r="J69" s="96">
        <f t="shared" si="16"/>
        <v>-811.59999999999991</v>
      </c>
      <c r="K69" s="96">
        <f t="shared" si="16"/>
        <v>121534.25999999998</v>
      </c>
      <c r="L69" s="96">
        <f t="shared" si="16"/>
        <v>2250</v>
      </c>
      <c r="M69" s="96">
        <f>SUM(M71:M75)</f>
        <v>739</v>
      </c>
      <c r="N69" s="128">
        <f t="shared" si="0"/>
        <v>124523.25999999998</v>
      </c>
    </row>
    <row r="70" spans="1:14" x14ac:dyDescent="0.25">
      <c r="A70" s="125" t="s">
        <v>37</v>
      </c>
      <c r="B70" s="1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8"/>
    </row>
    <row r="71" spans="1:14" ht="27.75" customHeight="1" x14ac:dyDescent="0.25">
      <c r="A71" s="115" t="s">
        <v>93</v>
      </c>
      <c r="B71" s="116"/>
      <c r="C71" s="31">
        <v>0</v>
      </c>
      <c r="D71" s="31">
        <v>0</v>
      </c>
      <c r="E71" s="62">
        <f>SUM(C71:D71)</f>
        <v>0</v>
      </c>
      <c r="F71" s="62">
        <v>0</v>
      </c>
      <c r="G71" s="62">
        <v>0</v>
      </c>
      <c r="H71" s="62">
        <f>SUM(E71:G71)</f>
        <v>0</v>
      </c>
      <c r="I71" s="62">
        <v>0</v>
      </c>
      <c r="J71" s="62">
        <f>259</f>
        <v>259</v>
      </c>
      <c r="K71" s="31">
        <f>SUM(H71:J71)+250-250</f>
        <v>259</v>
      </c>
      <c r="L71" s="31">
        <v>0</v>
      </c>
      <c r="M71" s="31">
        <f>250+400</f>
        <v>650</v>
      </c>
      <c r="N71" s="32">
        <f t="shared" si="0"/>
        <v>909</v>
      </c>
    </row>
    <row r="72" spans="1:14" ht="27.75" customHeight="1" x14ac:dyDescent="0.25">
      <c r="A72" s="115" t="s">
        <v>94</v>
      </c>
      <c r="B72" s="116"/>
      <c r="C72" s="31">
        <v>0</v>
      </c>
      <c r="D72" s="31"/>
      <c r="E72" s="62"/>
      <c r="F72" s="62"/>
      <c r="G72" s="62"/>
      <c r="H72" s="62"/>
      <c r="I72" s="62"/>
      <c r="J72" s="62"/>
      <c r="K72" s="31">
        <v>0</v>
      </c>
      <c r="L72" s="31">
        <f>250</f>
        <v>250</v>
      </c>
      <c r="M72" s="31">
        <v>0</v>
      </c>
      <c r="N72" s="32">
        <f t="shared" ref="N72:N147" si="17">SUM(K72:M72)</f>
        <v>250</v>
      </c>
    </row>
    <row r="73" spans="1:14" ht="15.75" customHeight="1" x14ac:dyDescent="0.25">
      <c r="A73" s="115" t="s">
        <v>77</v>
      </c>
      <c r="B73" s="116"/>
      <c r="C73" s="31">
        <v>50245.05</v>
      </c>
      <c r="D73" s="31">
        <f>-6934-429.3</f>
        <v>-7363.3</v>
      </c>
      <c r="E73" s="62">
        <f t="shared" ref="E73:E75" si="18">SUM(C73:D73)</f>
        <v>42881.75</v>
      </c>
      <c r="F73" s="62">
        <v>4573.38</v>
      </c>
      <c r="G73" s="62">
        <f>-196.83-4000</f>
        <v>-4196.83</v>
      </c>
      <c r="H73" s="62">
        <f>SUM(E73:G73)-112.94</f>
        <v>43145.359999999993</v>
      </c>
      <c r="I73" s="62">
        <v>5118.1000000000004</v>
      </c>
      <c r="J73" s="62">
        <f>277.4-1655</f>
        <v>-1377.6</v>
      </c>
      <c r="K73" s="31">
        <f>SUM(H73:J73)+2955</f>
        <v>49840.859999999993</v>
      </c>
      <c r="L73" s="31">
        <v>0</v>
      </c>
      <c r="M73" s="31">
        <f>-490+630+324+235</f>
        <v>699</v>
      </c>
      <c r="N73" s="32">
        <f t="shared" si="17"/>
        <v>50539.859999999993</v>
      </c>
    </row>
    <row r="74" spans="1:14" ht="26.25" customHeight="1" x14ac:dyDescent="0.25">
      <c r="A74" s="115" t="s">
        <v>95</v>
      </c>
      <c r="B74" s="116"/>
      <c r="C74" s="31">
        <v>0</v>
      </c>
      <c r="D74" s="31"/>
      <c r="E74" s="62">
        <v>0</v>
      </c>
      <c r="F74" s="62">
        <v>50</v>
      </c>
      <c r="G74" s="62">
        <v>0</v>
      </c>
      <c r="H74" s="62">
        <f t="shared" ref="H74" si="19">SUM(E74:G74)</f>
        <v>50</v>
      </c>
      <c r="I74" s="62">
        <v>0</v>
      </c>
      <c r="J74" s="62">
        <v>0</v>
      </c>
      <c r="K74" s="31">
        <f t="shared" si="2"/>
        <v>50</v>
      </c>
      <c r="L74" s="31">
        <v>0</v>
      </c>
      <c r="M74" s="31">
        <v>0</v>
      </c>
      <c r="N74" s="32">
        <f t="shared" si="17"/>
        <v>50</v>
      </c>
    </row>
    <row r="75" spans="1:14" ht="18" customHeight="1" thickBot="1" x14ac:dyDescent="0.3">
      <c r="A75" s="132" t="s">
        <v>96</v>
      </c>
      <c r="B75" s="133"/>
      <c r="C75" s="45">
        <v>71096</v>
      </c>
      <c r="D75" s="45">
        <f>-100</f>
        <v>-100</v>
      </c>
      <c r="E75" s="134">
        <f t="shared" si="18"/>
        <v>70996</v>
      </c>
      <c r="F75" s="134">
        <v>162.4</v>
      </c>
      <c r="G75" s="134">
        <f>-46</f>
        <v>-46</v>
      </c>
      <c r="H75" s="134">
        <f>SUM(E75:G75)+22</f>
        <v>71134.399999999994</v>
      </c>
      <c r="I75" s="134">
        <v>0</v>
      </c>
      <c r="J75" s="134">
        <f>307</f>
        <v>307</v>
      </c>
      <c r="K75" s="45">
        <f>SUM(H75:J75)-57</f>
        <v>71384.399999999994</v>
      </c>
      <c r="L75" s="45">
        <f>2000</f>
        <v>2000</v>
      </c>
      <c r="M75" s="45">
        <f>-480-130</f>
        <v>-610</v>
      </c>
      <c r="N75" s="66">
        <f t="shared" si="17"/>
        <v>72774.399999999994</v>
      </c>
    </row>
    <row r="76" spans="1:14" ht="15.75" thickBot="1" x14ac:dyDescent="0.3">
      <c r="A76" s="91" t="s">
        <v>97</v>
      </c>
      <c r="B76" s="135"/>
      <c r="C76" s="96">
        <f>SUM(C78:C80)</f>
        <v>1563.42</v>
      </c>
      <c r="D76" s="97">
        <f>SUM(D78:D80)</f>
        <v>0</v>
      </c>
      <c r="E76" s="96">
        <f>SUM(C76:D76)</f>
        <v>1563.42</v>
      </c>
      <c r="F76" s="96">
        <f t="shared" ref="F76:L76" si="20">SUM(F78:F80)</f>
        <v>250</v>
      </c>
      <c r="G76" s="96">
        <f t="shared" si="20"/>
        <v>0</v>
      </c>
      <c r="H76" s="123">
        <f t="shared" si="20"/>
        <v>1813.42</v>
      </c>
      <c r="I76" s="96">
        <f t="shared" si="20"/>
        <v>0</v>
      </c>
      <c r="J76" s="96">
        <f t="shared" si="20"/>
        <v>0</v>
      </c>
      <c r="K76" s="96">
        <f t="shared" si="20"/>
        <v>1813.42</v>
      </c>
      <c r="L76" s="96">
        <f t="shared" si="20"/>
        <v>0</v>
      </c>
      <c r="M76" s="96">
        <f>SUM(M78:M80)</f>
        <v>0</v>
      </c>
      <c r="N76" s="136">
        <f t="shared" si="17"/>
        <v>1813.42</v>
      </c>
    </row>
    <row r="77" spans="1:14" x14ac:dyDescent="0.25">
      <c r="A77" s="137" t="s">
        <v>37</v>
      </c>
      <c r="B77" s="13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48"/>
    </row>
    <row r="78" spans="1:14" ht="27.75" customHeight="1" x14ac:dyDescent="0.25">
      <c r="A78" s="25" t="s">
        <v>98</v>
      </c>
      <c r="B78" s="139" t="s">
        <v>82</v>
      </c>
      <c r="C78" s="27">
        <v>15</v>
      </c>
      <c r="D78" s="27">
        <v>0</v>
      </c>
      <c r="E78" s="27">
        <f>SUM(C78:D78)</f>
        <v>15</v>
      </c>
      <c r="F78" s="27">
        <v>0</v>
      </c>
      <c r="G78" s="27">
        <v>0</v>
      </c>
      <c r="H78" s="27">
        <f>SUM(E78:G78)</f>
        <v>15</v>
      </c>
      <c r="I78" s="27">
        <v>0</v>
      </c>
      <c r="J78" s="27">
        <v>0</v>
      </c>
      <c r="K78" s="27">
        <f t="shared" si="2"/>
        <v>15</v>
      </c>
      <c r="L78" s="27">
        <v>0</v>
      </c>
      <c r="M78" s="27">
        <v>0</v>
      </c>
      <c r="N78" s="66">
        <f t="shared" si="17"/>
        <v>15</v>
      </c>
    </row>
    <row r="79" spans="1:14" ht="17.25" customHeight="1" x14ac:dyDescent="0.25">
      <c r="A79" s="140" t="s">
        <v>77</v>
      </c>
      <c r="B79" s="116"/>
      <c r="C79" s="31">
        <v>56.7</v>
      </c>
      <c r="D79" s="31">
        <v>0</v>
      </c>
      <c r="E79" s="31">
        <f t="shared" ref="E79:E80" si="21">SUM(C79:D79)</f>
        <v>56.7</v>
      </c>
      <c r="F79" s="31">
        <v>0</v>
      </c>
      <c r="G79" s="31">
        <v>0</v>
      </c>
      <c r="H79" s="31">
        <f t="shared" ref="H79:H80" si="22">SUM(E79:G79)</f>
        <v>56.7</v>
      </c>
      <c r="I79" s="31">
        <v>0</v>
      </c>
      <c r="J79" s="31">
        <v>0</v>
      </c>
      <c r="K79" s="31">
        <f t="shared" si="2"/>
        <v>56.7</v>
      </c>
      <c r="L79" s="31">
        <v>0</v>
      </c>
      <c r="M79" s="31">
        <v>0</v>
      </c>
      <c r="N79" s="61">
        <f t="shared" si="17"/>
        <v>56.7</v>
      </c>
    </row>
    <row r="80" spans="1:14" ht="15.75" thickBot="1" x14ac:dyDescent="0.3">
      <c r="A80" s="141" t="s">
        <v>99</v>
      </c>
      <c r="B80" s="133"/>
      <c r="C80" s="45">
        <v>1491.72</v>
      </c>
      <c r="D80" s="45">
        <v>0</v>
      </c>
      <c r="E80" s="45">
        <f t="shared" si="21"/>
        <v>1491.72</v>
      </c>
      <c r="F80" s="45">
        <v>250</v>
      </c>
      <c r="G80" s="45">
        <v>0</v>
      </c>
      <c r="H80" s="45">
        <f t="shared" si="22"/>
        <v>1741.72</v>
      </c>
      <c r="I80" s="45">
        <v>0</v>
      </c>
      <c r="J80" s="45">
        <v>0</v>
      </c>
      <c r="K80" s="45">
        <f t="shared" si="2"/>
        <v>1741.72</v>
      </c>
      <c r="L80" s="45">
        <v>0</v>
      </c>
      <c r="M80" s="45">
        <v>0</v>
      </c>
      <c r="N80" s="66">
        <f t="shared" si="17"/>
        <v>1741.72</v>
      </c>
    </row>
    <row r="81" spans="1:14" ht="15.75" thickBot="1" x14ac:dyDescent="0.3">
      <c r="A81" s="142" t="s">
        <v>100</v>
      </c>
      <c r="B81" s="135"/>
      <c r="C81" s="96">
        <f>SUM(C83:C173)</f>
        <v>199620</v>
      </c>
      <c r="D81" s="97">
        <f>SUM(D83:D173)</f>
        <v>-380</v>
      </c>
      <c r="E81" s="96">
        <f>SUM(C81:D81)</f>
        <v>199240</v>
      </c>
      <c r="F81" s="96">
        <f t="shared" ref="F81:L81" si="23">SUM(F83:F173)</f>
        <v>3442</v>
      </c>
      <c r="G81" s="96">
        <f t="shared" si="23"/>
        <v>283.83</v>
      </c>
      <c r="H81" s="123">
        <f t="shared" si="23"/>
        <v>203471.57</v>
      </c>
      <c r="I81" s="96">
        <f t="shared" si="23"/>
        <v>1599.7199999999998</v>
      </c>
      <c r="J81" s="96">
        <f t="shared" si="23"/>
        <v>124.18</v>
      </c>
      <c r="K81" s="96">
        <f t="shared" si="23"/>
        <v>205761.93999999997</v>
      </c>
      <c r="L81" s="96">
        <f t="shared" si="23"/>
        <v>4412.0000000000009</v>
      </c>
      <c r="M81" s="96">
        <f>SUM(M83:M173)</f>
        <v>3335.8999999999996</v>
      </c>
      <c r="N81" s="124">
        <f t="shared" si="17"/>
        <v>213509.83999999997</v>
      </c>
    </row>
    <row r="82" spans="1:14" x14ac:dyDescent="0.25">
      <c r="A82" s="143" t="s">
        <v>37</v>
      </c>
      <c r="B82" s="1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8">
        <f t="shared" si="17"/>
        <v>0</v>
      </c>
    </row>
    <row r="83" spans="1:14" x14ac:dyDescent="0.25">
      <c r="A83" s="140" t="s">
        <v>101</v>
      </c>
      <c r="B83" s="144"/>
      <c r="C83" s="31">
        <v>0</v>
      </c>
      <c r="D83" s="31">
        <v>0</v>
      </c>
      <c r="E83" s="31">
        <f>SUM(C83:D83)</f>
        <v>0</v>
      </c>
      <c r="F83" s="31">
        <v>0</v>
      </c>
      <c r="G83" s="31">
        <v>0</v>
      </c>
      <c r="H83" s="31">
        <f>SUM(E83:G83)</f>
        <v>0</v>
      </c>
      <c r="I83" s="31">
        <v>0</v>
      </c>
      <c r="J83" s="31">
        <v>0</v>
      </c>
      <c r="K83" s="31">
        <f t="shared" ref="K83:K170" si="24">SUM(H83:J83)</f>
        <v>0</v>
      </c>
      <c r="L83" s="31">
        <v>0</v>
      </c>
      <c r="M83" s="31">
        <v>0</v>
      </c>
      <c r="N83" s="32">
        <f t="shared" si="17"/>
        <v>0</v>
      </c>
    </row>
    <row r="84" spans="1:14" ht="15.75" customHeight="1" x14ac:dyDescent="0.25">
      <c r="A84" s="140" t="s">
        <v>77</v>
      </c>
      <c r="B84" s="144"/>
      <c r="C84" s="31">
        <v>2740</v>
      </c>
      <c r="D84" s="31">
        <f>1100+80</f>
        <v>1180</v>
      </c>
      <c r="E84" s="31">
        <f t="shared" ref="E84:E169" si="25">SUM(C84:D84)</f>
        <v>3920</v>
      </c>
      <c r="F84" s="31">
        <v>750</v>
      </c>
      <c r="G84" s="31">
        <f>-1000</f>
        <v>-1000</v>
      </c>
      <c r="H84" s="31">
        <f t="shared" ref="H84:H87" si="26">SUM(E84:G84)</f>
        <v>3670</v>
      </c>
      <c r="I84" s="31">
        <v>50</v>
      </c>
      <c r="J84" s="31">
        <f>-2</f>
        <v>-2</v>
      </c>
      <c r="K84" s="31">
        <f t="shared" si="24"/>
        <v>3718</v>
      </c>
      <c r="L84" s="31">
        <f>1120</f>
        <v>1120</v>
      </c>
      <c r="M84" s="31">
        <v>0</v>
      </c>
      <c r="N84" s="32">
        <f t="shared" si="17"/>
        <v>4838</v>
      </c>
    </row>
    <row r="85" spans="1:14" ht="30.75" customHeight="1" x14ac:dyDescent="0.25">
      <c r="A85" s="29" t="s">
        <v>102</v>
      </c>
      <c r="B85" s="144" t="s">
        <v>103</v>
      </c>
      <c r="C85" s="31">
        <v>5800</v>
      </c>
      <c r="D85" s="31">
        <v>0</v>
      </c>
      <c r="E85" s="31">
        <f t="shared" si="25"/>
        <v>5800</v>
      </c>
      <c r="F85" s="31">
        <v>200</v>
      </c>
      <c r="G85" s="31">
        <v>0</v>
      </c>
      <c r="H85" s="31">
        <f t="shared" si="26"/>
        <v>6000</v>
      </c>
      <c r="I85" s="31">
        <v>0</v>
      </c>
      <c r="J85" s="31">
        <v>0</v>
      </c>
      <c r="K85" s="31">
        <f t="shared" si="24"/>
        <v>6000</v>
      </c>
      <c r="L85" s="31">
        <v>0</v>
      </c>
      <c r="M85" s="31">
        <v>0</v>
      </c>
      <c r="N85" s="32">
        <f t="shared" si="17"/>
        <v>6000</v>
      </c>
    </row>
    <row r="86" spans="1:14" ht="24.75" customHeight="1" x14ac:dyDescent="0.25">
      <c r="A86" s="29" t="s">
        <v>104</v>
      </c>
      <c r="B86" s="144" t="s">
        <v>105</v>
      </c>
      <c r="C86" s="31">
        <v>1710</v>
      </c>
      <c r="D86" s="31">
        <v>0</v>
      </c>
      <c r="E86" s="31">
        <f t="shared" si="25"/>
        <v>1710</v>
      </c>
      <c r="F86" s="31">
        <v>0</v>
      </c>
      <c r="G86" s="31">
        <v>0</v>
      </c>
      <c r="H86" s="31">
        <f t="shared" si="26"/>
        <v>1710</v>
      </c>
      <c r="I86" s="31">
        <v>0</v>
      </c>
      <c r="J86" s="31">
        <v>0</v>
      </c>
      <c r="K86" s="31">
        <f t="shared" si="24"/>
        <v>1710</v>
      </c>
      <c r="L86" s="31">
        <v>0</v>
      </c>
      <c r="M86" s="31">
        <v>0</v>
      </c>
      <c r="N86" s="32">
        <f t="shared" si="17"/>
        <v>1710</v>
      </c>
    </row>
    <row r="87" spans="1:14" ht="28.5" customHeight="1" x14ac:dyDescent="0.25">
      <c r="A87" s="29" t="s">
        <v>106</v>
      </c>
      <c r="B87" s="144" t="s">
        <v>107</v>
      </c>
      <c r="C87" s="31">
        <v>720</v>
      </c>
      <c r="D87" s="31">
        <v>0</v>
      </c>
      <c r="E87" s="31">
        <f t="shared" si="25"/>
        <v>720</v>
      </c>
      <c r="F87" s="31">
        <v>0</v>
      </c>
      <c r="G87" s="31">
        <v>0</v>
      </c>
      <c r="H87" s="31">
        <f t="shared" si="26"/>
        <v>720</v>
      </c>
      <c r="I87" s="31">
        <v>0</v>
      </c>
      <c r="J87" s="31">
        <v>0</v>
      </c>
      <c r="K87" s="31">
        <f t="shared" si="24"/>
        <v>720</v>
      </c>
      <c r="L87" s="31">
        <v>0</v>
      </c>
      <c r="M87" s="31">
        <v>0</v>
      </c>
      <c r="N87" s="32">
        <f t="shared" si="17"/>
        <v>720</v>
      </c>
    </row>
    <row r="88" spans="1:14" ht="17.25" customHeight="1" x14ac:dyDescent="0.25">
      <c r="A88" s="140" t="s">
        <v>108</v>
      </c>
      <c r="B88" s="116" t="s">
        <v>109</v>
      </c>
      <c r="C88" s="31">
        <v>31540</v>
      </c>
      <c r="D88" s="31">
        <v>0</v>
      </c>
      <c r="E88" s="31">
        <f t="shared" si="25"/>
        <v>31540</v>
      </c>
      <c r="F88" s="31">
        <f>900+0</f>
        <v>900</v>
      </c>
      <c r="G88" s="31">
        <v>0</v>
      </c>
      <c r="H88" s="31">
        <f>SUM(E88:G88)</f>
        <v>32440</v>
      </c>
      <c r="I88" s="31">
        <v>300</v>
      </c>
      <c r="J88" s="31">
        <v>0</v>
      </c>
      <c r="K88" s="31">
        <f t="shared" si="24"/>
        <v>32740</v>
      </c>
      <c r="L88" s="31">
        <v>0</v>
      </c>
      <c r="M88" s="31">
        <v>0</v>
      </c>
      <c r="N88" s="32">
        <f t="shared" si="17"/>
        <v>32740</v>
      </c>
    </row>
    <row r="89" spans="1:14" x14ac:dyDescent="0.25">
      <c r="A89" s="140" t="s">
        <v>110</v>
      </c>
      <c r="B89" s="144" t="s">
        <v>84</v>
      </c>
      <c r="C89" s="31">
        <v>2638</v>
      </c>
      <c r="D89" s="31">
        <v>0</v>
      </c>
      <c r="E89" s="31">
        <f t="shared" si="25"/>
        <v>2638</v>
      </c>
      <c r="F89" s="31">
        <v>0</v>
      </c>
      <c r="G89" s="31">
        <v>0</v>
      </c>
      <c r="H89" s="31">
        <f t="shared" ref="H89:H173" si="27">SUM(E89:G89)</f>
        <v>2638</v>
      </c>
      <c r="I89" s="31">
        <v>150</v>
      </c>
      <c r="J89" s="31">
        <v>0</v>
      </c>
      <c r="K89" s="31">
        <f t="shared" si="24"/>
        <v>2788</v>
      </c>
      <c r="L89" s="31">
        <v>95</v>
      </c>
      <c r="M89" s="31">
        <v>0</v>
      </c>
      <c r="N89" s="32">
        <f>SUM(K89:M89)</f>
        <v>2883</v>
      </c>
    </row>
    <row r="90" spans="1:14" x14ac:dyDescent="0.25">
      <c r="A90" s="140" t="s">
        <v>400</v>
      </c>
      <c r="B90" s="144" t="s">
        <v>153</v>
      </c>
      <c r="C90" s="31">
        <v>0</v>
      </c>
      <c r="D90" s="31"/>
      <c r="E90" s="31"/>
      <c r="F90" s="31"/>
      <c r="G90" s="31"/>
      <c r="H90" s="31"/>
      <c r="I90" s="31"/>
      <c r="J90" s="31"/>
      <c r="K90" s="31">
        <v>0</v>
      </c>
      <c r="L90" s="31">
        <v>0</v>
      </c>
      <c r="M90" s="31">
        <f>14.5</f>
        <v>14.5</v>
      </c>
      <c r="N90" s="32">
        <f>SUM(K90:M90)</f>
        <v>14.5</v>
      </c>
    </row>
    <row r="91" spans="1:14" x14ac:dyDescent="0.25">
      <c r="A91" s="140" t="s">
        <v>399</v>
      </c>
      <c r="B91" s="144" t="s">
        <v>117</v>
      </c>
      <c r="C91" s="31">
        <v>0</v>
      </c>
      <c r="D91" s="31"/>
      <c r="E91" s="31"/>
      <c r="F91" s="31"/>
      <c r="G91" s="31"/>
      <c r="H91" s="31"/>
      <c r="I91" s="31"/>
      <c r="J91" s="31"/>
      <c r="K91" s="31">
        <v>0</v>
      </c>
      <c r="L91" s="31">
        <v>0</v>
      </c>
      <c r="M91" s="31">
        <v>782.97</v>
      </c>
      <c r="N91" s="32">
        <f>SUM(K91:M91)</f>
        <v>782.97</v>
      </c>
    </row>
    <row r="92" spans="1:14" x14ac:dyDescent="0.25">
      <c r="A92" s="140" t="s">
        <v>111</v>
      </c>
      <c r="B92" s="144" t="s">
        <v>84</v>
      </c>
      <c r="C92" s="31">
        <v>3651</v>
      </c>
      <c r="D92" s="31">
        <v>0</v>
      </c>
      <c r="E92" s="31">
        <f t="shared" si="25"/>
        <v>3651</v>
      </c>
      <c r="F92" s="31">
        <v>0</v>
      </c>
      <c r="G92" s="31">
        <v>0</v>
      </c>
      <c r="H92" s="31">
        <f t="shared" si="27"/>
        <v>3651</v>
      </c>
      <c r="I92" s="31">
        <v>150</v>
      </c>
      <c r="J92" s="31">
        <v>0</v>
      </c>
      <c r="K92" s="31">
        <f t="shared" si="24"/>
        <v>3801</v>
      </c>
      <c r="L92" s="31">
        <f>195</f>
        <v>195</v>
      </c>
      <c r="M92" s="31">
        <v>0</v>
      </c>
      <c r="N92" s="32">
        <f t="shared" si="17"/>
        <v>3996</v>
      </c>
    </row>
    <row r="93" spans="1:14" x14ac:dyDescent="0.25">
      <c r="A93" s="140" t="s">
        <v>112</v>
      </c>
      <c r="B93" s="144" t="s">
        <v>113</v>
      </c>
      <c r="C93" s="31">
        <v>0</v>
      </c>
      <c r="D93" s="31"/>
      <c r="E93" s="31"/>
      <c r="F93" s="31"/>
      <c r="G93" s="31"/>
      <c r="H93" s="31"/>
      <c r="I93" s="31"/>
      <c r="J93" s="31"/>
      <c r="K93" s="31">
        <v>0</v>
      </c>
      <c r="L93" s="31">
        <f>1.72</f>
        <v>1.72</v>
      </c>
      <c r="M93" s="31">
        <v>0</v>
      </c>
      <c r="N93" s="32">
        <f t="shared" si="17"/>
        <v>1.72</v>
      </c>
    </row>
    <row r="94" spans="1:14" x14ac:dyDescent="0.25">
      <c r="A94" s="140" t="s">
        <v>114</v>
      </c>
      <c r="B94" s="144" t="s">
        <v>115</v>
      </c>
      <c r="C94" s="31">
        <v>0</v>
      </c>
      <c r="D94" s="31"/>
      <c r="E94" s="31">
        <f>30.43</f>
        <v>30.43</v>
      </c>
      <c r="F94" s="31">
        <v>0</v>
      </c>
      <c r="G94" s="31">
        <v>0</v>
      </c>
      <c r="H94" s="31">
        <f t="shared" si="27"/>
        <v>30.43</v>
      </c>
      <c r="I94" s="31">
        <v>0</v>
      </c>
      <c r="J94" s="31">
        <v>0</v>
      </c>
      <c r="K94" s="31">
        <f t="shared" si="24"/>
        <v>30.43</v>
      </c>
      <c r="L94" s="31">
        <v>0</v>
      </c>
      <c r="M94" s="31">
        <v>0</v>
      </c>
      <c r="N94" s="32">
        <f t="shared" si="17"/>
        <v>30.43</v>
      </c>
    </row>
    <row r="95" spans="1:14" x14ac:dyDescent="0.25">
      <c r="A95" s="140" t="s">
        <v>114</v>
      </c>
      <c r="B95" s="144" t="s">
        <v>153</v>
      </c>
      <c r="C95" s="31">
        <v>0</v>
      </c>
      <c r="D95" s="31"/>
      <c r="E95" s="31"/>
      <c r="F95" s="31"/>
      <c r="G95" s="31"/>
      <c r="H95" s="31"/>
      <c r="I95" s="31"/>
      <c r="J95" s="31"/>
      <c r="K95" s="31">
        <v>0</v>
      </c>
      <c r="L95" s="31">
        <v>0</v>
      </c>
      <c r="M95" s="31">
        <f>31.62</f>
        <v>31.62</v>
      </c>
      <c r="N95" s="32">
        <f>SUM(K95:M95)</f>
        <v>31.62</v>
      </c>
    </row>
    <row r="96" spans="1:14" x14ac:dyDescent="0.25">
      <c r="A96" s="140" t="s">
        <v>116</v>
      </c>
      <c r="B96" s="144" t="s">
        <v>117</v>
      </c>
      <c r="C96" s="31">
        <v>0</v>
      </c>
      <c r="D96" s="31"/>
      <c r="E96" s="31"/>
      <c r="F96" s="31"/>
      <c r="G96" s="31"/>
      <c r="H96" s="31"/>
      <c r="I96" s="31"/>
      <c r="J96" s="31"/>
      <c r="K96" s="31">
        <v>0</v>
      </c>
      <c r="L96" s="31">
        <v>0</v>
      </c>
      <c r="M96" s="31">
        <f>1117.8</f>
        <v>1117.8</v>
      </c>
      <c r="N96" s="32">
        <f>SUM(K96:M96)</f>
        <v>1117.8</v>
      </c>
    </row>
    <row r="97" spans="1:14" ht="27" customHeight="1" x14ac:dyDescent="0.25">
      <c r="A97" s="29" t="s">
        <v>118</v>
      </c>
      <c r="B97" s="144" t="s">
        <v>84</v>
      </c>
      <c r="C97" s="31">
        <v>864</v>
      </c>
      <c r="D97" s="31">
        <v>0</v>
      </c>
      <c r="E97" s="31">
        <f t="shared" si="25"/>
        <v>864</v>
      </c>
      <c r="F97" s="31">
        <v>0</v>
      </c>
      <c r="G97" s="31">
        <v>0</v>
      </c>
      <c r="H97" s="31">
        <f t="shared" si="27"/>
        <v>864</v>
      </c>
      <c r="I97" s="31">
        <v>0</v>
      </c>
      <c r="J97" s="31">
        <v>0</v>
      </c>
      <c r="K97" s="31">
        <f t="shared" si="24"/>
        <v>864</v>
      </c>
      <c r="L97" s="31">
        <f>50</f>
        <v>50</v>
      </c>
      <c r="M97" s="31">
        <v>0</v>
      </c>
      <c r="N97" s="32">
        <f t="shared" si="17"/>
        <v>914</v>
      </c>
    </row>
    <row r="98" spans="1:14" ht="27" customHeight="1" x14ac:dyDescent="0.25">
      <c r="A98" s="29" t="s">
        <v>119</v>
      </c>
      <c r="B98" s="144" t="s">
        <v>84</v>
      </c>
      <c r="C98" s="31">
        <v>2940</v>
      </c>
      <c r="D98" s="31">
        <v>0</v>
      </c>
      <c r="E98" s="31">
        <f t="shared" si="25"/>
        <v>2940</v>
      </c>
      <c r="F98" s="31">
        <v>0</v>
      </c>
      <c r="G98" s="31">
        <v>0</v>
      </c>
      <c r="H98" s="31">
        <f t="shared" si="27"/>
        <v>2940</v>
      </c>
      <c r="I98" s="31">
        <v>235</v>
      </c>
      <c r="J98" s="31">
        <v>0</v>
      </c>
      <c r="K98" s="31">
        <f t="shared" si="24"/>
        <v>3175</v>
      </c>
      <c r="L98" s="31">
        <f>140</f>
        <v>140</v>
      </c>
      <c r="M98" s="31">
        <v>0</v>
      </c>
      <c r="N98" s="32">
        <f t="shared" si="17"/>
        <v>3315</v>
      </c>
    </row>
    <row r="99" spans="1:14" x14ac:dyDescent="0.25">
      <c r="A99" s="29" t="s">
        <v>120</v>
      </c>
      <c r="B99" s="144" t="s">
        <v>115</v>
      </c>
      <c r="C99" s="31">
        <v>0</v>
      </c>
      <c r="D99" s="31"/>
      <c r="E99" s="31">
        <f>30.72</f>
        <v>30.72</v>
      </c>
      <c r="F99" s="31">
        <v>0</v>
      </c>
      <c r="G99" s="31">
        <v>0</v>
      </c>
      <c r="H99" s="31">
        <f t="shared" si="27"/>
        <v>30.72</v>
      </c>
      <c r="I99" s="31">
        <v>0</v>
      </c>
      <c r="J99" s="31">
        <f>5</f>
        <v>5</v>
      </c>
      <c r="K99" s="31">
        <f t="shared" si="24"/>
        <v>35.72</v>
      </c>
      <c r="L99" s="31">
        <v>0</v>
      </c>
      <c r="M99" s="31">
        <v>0</v>
      </c>
      <c r="N99" s="32">
        <f t="shared" si="17"/>
        <v>35.72</v>
      </c>
    </row>
    <row r="100" spans="1:14" x14ac:dyDescent="0.25">
      <c r="A100" s="29" t="s">
        <v>120</v>
      </c>
      <c r="B100" s="145" t="s">
        <v>153</v>
      </c>
      <c r="C100" s="31">
        <v>0</v>
      </c>
      <c r="D100" s="31"/>
      <c r="E100" s="31"/>
      <c r="F100" s="31"/>
      <c r="G100" s="31"/>
      <c r="H100" s="31"/>
      <c r="I100" s="31"/>
      <c r="J100" s="31"/>
      <c r="K100" s="31">
        <v>0</v>
      </c>
      <c r="L100" s="31">
        <v>0</v>
      </c>
      <c r="M100" s="31">
        <f>47.96</f>
        <v>47.96</v>
      </c>
      <c r="N100" s="61">
        <f>SUM(K100:M100)</f>
        <v>47.96</v>
      </c>
    </row>
    <row r="101" spans="1:14" x14ac:dyDescent="0.25">
      <c r="A101" s="140" t="s">
        <v>121</v>
      </c>
      <c r="B101" s="145" t="s">
        <v>84</v>
      </c>
      <c r="C101" s="31">
        <v>2964</v>
      </c>
      <c r="D101" s="31">
        <v>0</v>
      </c>
      <c r="E101" s="31">
        <f t="shared" si="25"/>
        <v>2964</v>
      </c>
      <c r="F101" s="31">
        <v>588</v>
      </c>
      <c r="G101" s="31">
        <v>0</v>
      </c>
      <c r="H101" s="31">
        <f t="shared" si="27"/>
        <v>3552</v>
      </c>
      <c r="I101" s="31">
        <v>0</v>
      </c>
      <c r="J101" s="31">
        <v>0</v>
      </c>
      <c r="K101" s="31">
        <f t="shared" si="24"/>
        <v>3552</v>
      </c>
      <c r="L101" s="31">
        <f>95</f>
        <v>95</v>
      </c>
      <c r="M101" s="31">
        <v>0</v>
      </c>
      <c r="N101" s="61">
        <f t="shared" si="17"/>
        <v>3647</v>
      </c>
    </row>
    <row r="102" spans="1:14" x14ac:dyDescent="0.25">
      <c r="A102" s="140" t="s">
        <v>122</v>
      </c>
      <c r="B102" s="144" t="s">
        <v>113</v>
      </c>
      <c r="C102" s="31">
        <v>0</v>
      </c>
      <c r="D102" s="31"/>
      <c r="E102" s="31"/>
      <c r="F102" s="31"/>
      <c r="G102" s="31"/>
      <c r="H102" s="31"/>
      <c r="I102" s="31"/>
      <c r="J102" s="31"/>
      <c r="K102" s="31">
        <v>0</v>
      </c>
      <c r="L102" s="31">
        <f>6.65</f>
        <v>6.65</v>
      </c>
      <c r="M102" s="31">
        <v>0</v>
      </c>
      <c r="N102" s="32">
        <f t="shared" si="17"/>
        <v>6.65</v>
      </c>
    </row>
    <row r="103" spans="1:14" x14ac:dyDescent="0.25">
      <c r="A103" s="140" t="s">
        <v>123</v>
      </c>
      <c r="B103" s="144" t="s">
        <v>115</v>
      </c>
      <c r="C103" s="31">
        <v>0</v>
      </c>
      <c r="D103" s="31"/>
      <c r="E103" s="31">
        <f>15.04</f>
        <v>15.04</v>
      </c>
      <c r="F103" s="31">
        <v>0</v>
      </c>
      <c r="G103" s="31">
        <v>0</v>
      </c>
      <c r="H103" s="31">
        <f t="shared" si="27"/>
        <v>15.04</v>
      </c>
      <c r="I103" s="31">
        <v>0</v>
      </c>
      <c r="J103" s="31">
        <f>5.27</f>
        <v>5.27</v>
      </c>
      <c r="K103" s="31">
        <f t="shared" si="24"/>
        <v>20.309999999999999</v>
      </c>
      <c r="L103" s="31">
        <v>0</v>
      </c>
      <c r="M103" s="31">
        <v>0</v>
      </c>
      <c r="N103" s="32">
        <f>SUM(K103:M103)</f>
        <v>20.309999999999999</v>
      </c>
    </row>
    <row r="104" spans="1:14" x14ac:dyDescent="0.25">
      <c r="A104" s="140" t="s">
        <v>123</v>
      </c>
      <c r="B104" s="144" t="s">
        <v>153</v>
      </c>
      <c r="C104" s="31">
        <v>0</v>
      </c>
      <c r="D104" s="31"/>
      <c r="E104" s="31"/>
      <c r="F104" s="31"/>
      <c r="G104" s="31"/>
      <c r="H104" s="31"/>
      <c r="I104" s="31"/>
      <c r="J104" s="31"/>
      <c r="K104" s="31">
        <v>0</v>
      </c>
      <c r="L104" s="31">
        <v>0</v>
      </c>
      <c r="M104" s="31">
        <f>26.57</f>
        <v>26.57</v>
      </c>
      <c r="N104" s="32">
        <f>SUM(K104:M104)</f>
        <v>26.57</v>
      </c>
    </row>
    <row r="105" spans="1:14" x14ac:dyDescent="0.25">
      <c r="A105" s="140" t="s">
        <v>124</v>
      </c>
      <c r="B105" s="144" t="s">
        <v>117</v>
      </c>
      <c r="C105" s="31">
        <v>0</v>
      </c>
      <c r="D105" s="31"/>
      <c r="E105" s="31"/>
      <c r="F105" s="31"/>
      <c r="G105" s="31"/>
      <c r="H105" s="31"/>
      <c r="I105" s="31"/>
      <c r="J105" s="31"/>
      <c r="K105" s="31">
        <v>0</v>
      </c>
      <c r="L105" s="31">
        <v>0</v>
      </c>
      <c r="M105" s="31">
        <f>865.98</f>
        <v>865.98</v>
      </c>
      <c r="N105" s="32">
        <f>SUM(K105:M105)</f>
        <v>865.98</v>
      </c>
    </row>
    <row r="106" spans="1:14" x14ac:dyDescent="0.25">
      <c r="A106" s="140" t="s">
        <v>125</v>
      </c>
      <c r="B106" s="144" t="s">
        <v>84</v>
      </c>
      <c r="C106" s="31">
        <v>317</v>
      </c>
      <c r="D106" s="31">
        <v>0</v>
      </c>
      <c r="E106" s="31">
        <f t="shared" si="25"/>
        <v>317</v>
      </c>
      <c r="F106" s="31">
        <v>0</v>
      </c>
      <c r="G106" s="31">
        <v>0</v>
      </c>
      <c r="H106" s="31">
        <f t="shared" si="27"/>
        <v>317</v>
      </c>
      <c r="I106" s="31">
        <v>150</v>
      </c>
      <c r="J106" s="31">
        <v>0</v>
      </c>
      <c r="K106" s="31">
        <f t="shared" si="24"/>
        <v>467</v>
      </c>
      <c r="L106" s="31">
        <f>50</f>
        <v>50</v>
      </c>
      <c r="M106" s="31">
        <v>0</v>
      </c>
      <c r="N106" s="32">
        <f t="shared" si="17"/>
        <v>517</v>
      </c>
    </row>
    <row r="107" spans="1:14" x14ac:dyDescent="0.25">
      <c r="A107" s="140" t="s">
        <v>126</v>
      </c>
      <c r="B107" s="144" t="s">
        <v>84</v>
      </c>
      <c r="C107" s="31">
        <v>173</v>
      </c>
      <c r="D107" s="31">
        <v>0</v>
      </c>
      <c r="E107" s="31">
        <f t="shared" si="25"/>
        <v>173</v>
      </c>
      <c r="F107" s="31">
        <v>0</v>
      </c>
      <c r="G107" s="31">
        <v>0</v>
      </c>
      <c r="H107" s="31">
        <f t="shared" si="27"/>
        <v>173</v>
      </c>
      <c r="I107" s="31">
        <v>0</v>
      </c>
      <c r="J107" s="31">
        <v>0</v>
      </c>
      <c r="K107" s="31">
        <f t="shared" si="24"/>
        <v>173</v>
      </c>
      <c r="L107" s="31">
        <f>50</f>
        <v>50</v>
      </c>
      <c r="M107" s="31">
        <v>0</v>
      </c>
      <c r="N107" s="32">
        <f t="shared" si="17"/>
        <v>223</v>
      </c>
    </row>
    <row r="108" spans="1:14" x14ac:dyDescent="0.25">
      <c r="A108" s="140" t="s">
        <v>127</v>
      </c>
      <c r="B108" s="144" t="s">
        <v>84</v>
      </c>
      <c r="C108" s="31">
        <v>3367</v>
      </c>
      <c r="D108" s="31">
        <v>0</v>
      </c>
      <c r="E108" s="31">
        <f t="shared" si="25"/>
        <v>3367</v>
      </c>
      <c r="F108" s="31">
        <v>0</v>
      </c>
      <c r="G108" s="31">
        <v>0</v>
      </c>
      <c r="H108" s="31">
        <f t="shared" si="27"/>
        <v>3367</v>
      </c>
      <c r="I108" s="31">
        <v>140</v>
      </c>
      <c r="J108" s="31">
        <v>0</v>
      </c>
      <c r="K108" s="31">
        <f t="shared" si="24"/>
        <v>3507</v>
      </c>
      <c r="L108" s="31">
        <f>140</f>
        <v>140</v>
      </c>
      <c r="M108" s="31">
        <v>0</v>
      </c>
      <c r="N108" s="32">
        <f t="shared" si="17"/>
        <v>3647</v>
      </c>
    </row>
    <row r="109" spans="1:14" x14ac:dyDescent="0.25">
      <c r="A109" s="140" t="s">
        <v>128</v>
      </c>
      <c r="B109" s="144" t="s">
        <v>113</v>
      </c>
      <c r="C109" s="31">
        <v>0</v>
      </c>
      <c r="D109" s="31"/>
      <c r="E109" s="31"/>
      <c r="F109" s="31"/>
      <c r="G109" s="31"/>
      <c r="H109" s="31"/>
      <c r="I109" s="31"/>
      <c r="J109" s="31"/>
      <c r="K109" s="31">
        <v>0</v>
      </c>
      <c r="L109" s="31">
        <f>8.54</f>
        <v>8.5399999999999991</v>
      </c>
      <c r="M109" s="31">
        <v>0</v>
      </c>
      <c r="N109" s="32">
        <f t="shared" si="17"/>
        <v>8.5399999999999991</v>
      </c>
    </row>
    <row r="110" spans="1:14" ht="16.5" customHeight="1" x14ac:dyDescent="0.25">
      <c r="A110" s="140" t="s">
        <v>129</v>
      </c>
      <c r="B110" s="144" t="s">
        <v>84</v>
      </c>
      <c r="C110" s="31">
        <v>246</v>
      </c>
      <c r="D110" s="31">
        <v>0</v>
      </c>
      <c r="E110" s="31">
        <f t="shared" si="25"/>
        <v>246</v>
      </c>
      <c r="F110" s="31">
        <v>0</v>
      </c>
      <c r="G110" s="31">
        <v>0</v>
      </c>
      <c r="H110" s="31">
        <f t="shared" si="27"/>
        <v>246</v>
      </c>
      <c r="I110" s="31">
        <v>0</v>
      </c>
      <c r="J110" s="31">
        <v>0</v>
      </c>
      <c r="K110" s="31">
        <f t="shared" si="24"/>
        <v>246</v>
      </c>
      <c r="L110" s="31">
        <f>50</f>
        <v>50</v>
      </c>
      <c r="M110" s="31">
        <v>0</v>
      </c>
      <c r="N110" s="32">
        <f t="shared" si="17"/>
        <v>296</v>
      </c>
    </row>
    <row r="111" spans="1:14" x14ac:dyDescent="0.25">
      <c r="A111" s="140" t="s">
        <v>130</v>
      </c>
      <c r="B111" s="144" t="s">
        <v>84</v>
      </c>
      <c r="C111" s="31">
        <v>2770</v>
      </c>
      <c r="D111" s="31">
        <v>0</v>
      </c>
      <c r="E111" s="31">
        <f t="shared" si="25"/>
        <v>2770</v>
      </c>
      <c r="F111" s="31">
        <v>0</v>
      </c>
      <c r="G111" s="31">
        <v>0</v>
      </c>
      <c r="H111" s="31">
        <f>SUM(E111:G111)</f>
        <v>2770</v>
      </c>
      <c r="I111" s="31">
        <v>150</v>
      </c>
      <c r="J111" s="31">
        <v>0</v>
      </c>
      <c r="K111" s="31">
        <f t="shared" si="24"/>
        <v>2920</v>
      </c>
      <c r="L111" s="31">
        <f>96.87</f>
        <v>96.87</v>
      </c>
      <c r="M111" s="31">
        <v>0</v>
      </c>
      <c r="N111" s="32">
        <f t="shared" si="17"/>
        <v>3016.87</v>
      </c>
    </row>
    <row r="112" spans="1:14" x14ac:dyDescent="0.25">
      <c r="A112" s="140" t="s">
        <v>131</v>
      </c>
      <c r="B112" s="144" t="s">
        <v>115</v>
      </c>
      <c r="C112" s="31">
        <v>0</v>
      </c>
      <c r="D112" s="31"/>
      <c r="E112" s="31">
        <f>33.92</f>
        <v>33.92</v>
      </c>
      <c r="F112" s="31">
        <v>0</v>
      </c>
      <c r="G112" s="31">
        <v>0</v>
      </c>
      <c r="H112" s="31">
        <f t="shared" si="27"/>
        <v>33.92</v>
      </c>
      <c r="I112" s="31">
        <v>0</v>
      </c>
      <c r="J112" s="31">
        <f>71.87</f>
        <v>71.87</v>
      </c>
      <c r="K112" s="31">
        <f t="shared" si="24"/>
        <v>105.79</v>
      </c>
      <c r="L112" s="31">
        <v>0</v>
      </c>
      <c r="M112" s="31">
        <v>0</v>
      </c>
      <c r="N112" s="32">
        <f t="shared" si="17"/>
        <v>105.79</v>
      </c>
    </row>
    <row r="113" spans="1:18" x14ac:dyDescent="0.25">
      <c r="A113" s="140" t="s">
        <v>131</v>
      </c>
      <c r="B113" s="144" t="s">
        <v>153</v>
      </c>
      <c r="C113" s="31">
        <v>0</v>
      </c>
      <c r="D113" s="31"/>
      <c r="E113" s="31"/>
      <c r="F113" s="31"/>
      <c r="G113" s="31"/>
      <c r="H113" s="31"/>
      <c r="I113" s="31"/>
      <c r="J113" s="31"/>
      <c r="K113" s="31">
        <v>0</v>
      </c>
      <c r="L113" s="31">
        <v>0</v>
      </c>
      <c r="M113" s="31">
        <f>95.91</f>
        <v>95.91</v>
      </c>
      <c r="N113" s="32">
        <f>SUM(K113:M113)</f>
        <v>95.91</v>
      </c>
    </row>
    <row r="114" spans="1:18" x14ac:dyDescent="0.25">
      <c r="A114" s="140" t="s">
        <v>132</v>
      </c>
      <c r="B114" s="144" t="s">
        <v>84</v>
      </c>
      <c r="C114" s="31">
        <v>1808</v>
      </c>
      <c r="D114" s="31">
        <v>0</v>
      </c>
      <c r="E114" s="31">
        <f t="shared" si="25"/>
        <v>1808</v>
      </c>
      <c r="F114" s="31">
        <v>666</v>
      </c>
      <c r="G114" s="31">
        <v>0</v>
      </c>
      <c r="H114" s="31">
        <f t="shared" si="27"/>
        <v>2474</v>
      </c>
      <c r="I114" s="31">
        <v>300</v>
      </c>
      <c r="J114" s="31">
        <v>0</v>
      </c>
      <c r="K114" s="31">
        <f t="shared" si="24"/>
        <v>2774</v>
      </c>
      <c r="L114" s="31">
        <f>240</f>
        <v>240</v>
      </c>
      <c r="M114" s="31">
        <v>0</v>
      </c>
      <c r="N114" s="32">
        <f t="shared" si="17"/>
        <v>3014</v>
      </c>
    </row>
    <row r="115" spans="1:18" x14ac:dyDescent="0.25">
      <c r="A115" s="140" t="s">
        <v>133</v>
      </c>
      <c r="B115" s="144" t="s">
        <v>113</v>
      </c>
      <c r="C115" s="31">
        <v>0</v>
      </c>
      <c r="D115" s="31"/>
      <c r="E115" s="31"/>
      <c r="F115" s="31"/>
      <c r="G115" s="31"/>
      <c r="H115" s="31"/>
      <c r="I115" s="31"/>
      <c r="J115" s="31"/>
      <c r="K115" s="31">
        <v>0</v>
      </c>
      <c r="L115" s="31">
        <f>2.61</f>
        <v>2.61</v>
      </c>
      <c r="M115" s="31">
        <v>0</v>
      </c>
      <c r="N115" s="32">
        <f t="shared" si="17"/>
        <v>2.61</v>
      </c>
      <c r="R115"/>
    </row>
    <row r="116" spans="1:18" ht="18" customHeight="1" x14ac:dyDescent="0.25">
      <c r="A116" s="29" t="s">
        <v>134</v>
      </c>
      <c r="B116" s="144" t="s">
        <v>84</v>
      </c>
      <c r="C116" s="31">
        <v>6417</v>
      </c>
      <c r="D116" s="31">
        <v>0</v>
      </c>
      <c r="E116" s="31">
        <f t="shared" si="25"/>
        <v>6417</v>
      </c>
      <c r="F116" s="31">
        <v>510</v>
      </c>
      <c r="G116" s="31">
        <v>0</v>
      </c>
      <c r="H116" s="31">
        <f t="shared" si="27"/>
        <v>6927</v>
      </c>
      <c r="I116" s="31">
        <v>250</v>
      </c>
      <c r="J116" s="31">
        <v>0</v>
      </c>
      <c r="K116" s="31">
        <f t="shared" si="24"/>
        <v>7177</v>
      </c>
      <c r="L116" s="31">
        <f>51</f>
        <v>51</v>
      </c>
      <c r="M116" s="31">
        <v>0</v>
      </c>
      <c r="N116" s="32">
        <f t="shared" si="17"/>
        <v>7228</v>
      </c>
    </row>
    <row r="117" spans="1:18" ht="30" customHeight="1" x14ac:dyDescent="0.25">
      <c r="A117" s="29" t="s">
        <v>135</v>
      </c>
      <c r="B117" s="144" t="s">
        <v>136</v>
      </c>
      <c r="C117" s="31">
        <v>0</v>
      </c>
      <c r="D117" s="31"/>
      <c r="E117" s="31">
        <v>0</v>
      </c>
      <c r="F117" s="31">
        <v>0</v>
      </c>
      <c r="G117" s="31">
        <f>95</f>
        <v>95</v>
      </c>
      <c r="H117" s="31">
        <f>SUM(E117:G117)</f>
        <v>95</v>
      </c>
      <c r="I117" s="31">
        <v>0</v>
      </c>
      <c r="J117" s="31">
        <v>0</v>
      </c>
      <c r="K117" s="31">
        <f t="shared" si="24"/>
        <v>95</v>
      </c>
      <c r="L117" s="31">
        <v>0</v>
      </c>
      <c r="M117" s="31">
        <f>50.68</f>
        <v>50.68</v>
      </c>
      <c r="N117" s="32">
        <f t="shared" si="17"/>
        <v>145.68</v>
      </c>
    </row>
    <row r="118" spans="1:18" ht="28.5" customHeight="1" x14ac:dyDescent="0.25">
      <c r="A118" s="29" t="s">
        <v>137</v>
      </c>
      <c r="B118" s="144" t="s">
        <v>136</v>
      </c>
      <c r="C118" s="31">
        <v>0</v>
      </c>
      <c r="D118" s="31"/>
      <c r="E118" s="31">
        <v>0</v>
      </c>
      <c r="F118" s="31">
        <v>0</v>
      </c>
      <c r="G118" s="31">
        <f>5</f>
        <v>5</v>
      </c>
      <c r="H118" s="31">
        <f>SUM(E118:G118)</f>
        <v>5</v>
      </c>
      <c r="I118" s="31">
        <v>0</v>
      </c>
      <c r="J118" s="31">
        <v>0</v>
      </c>
      <c r="K118" s="31">
        <f t="shared" si="24"/>
        <v>5</v>
      </c>
      <c r="L118" s="31">
        <v>0</v>
      </c>
      <c r="M118" s="31">
        <f>2.67</f>
        <v>2.67</v>
      </c>
      <c r="N118" s="32">
        <f t="shared" si="17"/>
        <v>7.67</v>
      </c>
    </row>
    <row r="119" spans="1:18" ht="25.5" x14ac:dyDescent="0.25">
      <c r="A119" s="29" t="s">
        <v>138</v>
      </c>
      <c r="B119" s="144" t="s">
        <v>84</v>
      </c>
      <c r="C119" s="31">
        <v>6103</v>
      </c>
      <c r="D119" s="31">
        <v>0</v>
      </c>
      <c r="E119" s="31">
        <f t="shared" si="25"/>
        <v>6103</v>
      </c>
      <c r="F119" s="31">
        <v>314</v>
      </c>
      <c r="G119" s="31">
        <v>0</v>
      </c>
      <c r="H119" s="31">
        <f t="shared" si="27"/>
        <v>6417</v>
      </c>
      <c r="I119" s="31">
        <v>0</v>
      </c>
      <c r="J119" s="31">
        <v>0</v>
      </c>
      <c r="K119" s="31">
        <f t="shared" si="24"/>
        <v>6417</v>
      </c>
      <c r="L119" s="31">
        <f>48</f>
        <v>48</v>
      </c>
      <c r="M119" s="31">
        <v>0</v>
      </c>
      <c r="N119" s="32">
        <f t="shared" si="17"/>
        <v>6465</v>
      </c>
    </row>
    <row r="120" spans="1:18" ht="25.5" x14ac:dyDescent="0.25">
      <c r="A120" s="29" t="s">
        <v>139</v>
      </c>
      <c r="B120" s="144" t="s">
        <v>113</v>
      </c>
      <c r="C120" s="31">
        <v>0</v>
      </c>
      <c r="D120" s="31"/>
      <c r="E120" s="31"/>
      <c r="F120" s="31"/>
      <c r="G120" s="31"/>
      <c r="H120" s="31"/>
      <c r="I120" s="31"/>
      <c r="J120" s="31"/>
      <c r="K120" s="31">
        <v>0</v>
      </c>
      <c r="L120" s="31">
        <f>11</f>
        <v>11</v>
      </c>
      <c r="M120" s="31">
        <v>0</v>
      </c>
      <c r="N120" s="32">
        <f t="shared" si="17"/>
        <v>11</v>
      </c>
    </row>
    <row r="121" spans="1:18" x14ac:dyDescent="0.25">
      <c r="A121" s="29" t="s">
        <v>140</v>
      </c>
      <c r="B121" s="144" t="s">
        <v>141</v>
      </c>
      <c r="C121" s="31">
        <v>0</v>
      </c>
      <c r="D121" s="31"/>
      <c r="E121" s="31"/>
      <c r="F121" s="31"/>
      <c r="G121" s="31"/>
      <c r="H121" s="31"/>
      <c r="I121" s="31"/>
      <c r="J121" s="31"/>
      <c r="K121" s="31">
        <f>96</f>
        <v>96</v>
      </c>
      <c r="L121" s="31">
        <v>0</v>
      </c>
      <c r="M121" s="31">
        <v>0</v>
      </c>
      <c r="N121" s="32">
        <f t="shared" si="17"/>
        <v>96</v>
      </c>
    </row>
    <row r="122" spans="1:18" x14ac:dyDescent="0.25">
      <c r="A122" s="140" t="s">
        <v>142</v>
      </c>
      <c r="B122" s="144" t="s">
        <v>84</v>
      </c>
      <c r="C122" s="31">
        <v>2341</v>
      </c>
      <c r="D122" s="31">
        <v>0</v>
      </c>
      <c r="E122" s="31">
        <f t="shared" si="25"/>
        <v>2341</v>
      </c>
      <c r="F122" s="31">
        <v>100</v>
      </c>
      <c r="G122" s="31">
        <v>0</v>
      </c>
      <c r="H122" s="31">
        <f t="shared" si="27"/>
        <v>2441</v>
      </c>
      <c r="I122" s="31">
        <v>100</v>
      </c>
      <c r="J122" s="31">
        <v>0</v>
      </c>
      <c r="K122" s="31">
        <f t="shared" si="24"/>
        <v>2541</v>
      </c>
      <c r="L122" s="31"/>
      <c r="M122" s="31">
        <v>0</v>
      </c>
      <c r="N122" s="32">
        <f t="shared" si="17"/>
        <v>2541</v>
      </c>
    </row>
    <row r="123" spans="1:18" x14ac:dyDescent="0.25">
      <c r="A123" s="140" t="s">
        <v>143</v>
      </c>
      <c r="B123" s="144" t="s">
        <v>84</v>
      </c>
      <c r="C123" s="31">
        <v>4048</v>
      </c>
      <c r="D123" s="31">
        <v>0</v>
      </c>
      <c r="E123" s="31">
        <f t="shared" si="25"/>
        <v>4048</v>
      </c>
      <c r="F123" s="31">
        <v>224</v>
      </c>
      <c r="G123" s="31">
        <v>0</v>
      </c>
      <c r="H123" s="31">
        <f t="shared" si="27"/>
        <v>4272</v>
      </c>
      <c r="I123" s="31">
        <v>0</v>
      </c>
      <c r="J123" s="31">
        <v>0</v>
      </c>
      <c r="K123" s="31">
        <f t="shared" si="24"/>
        <v>4272</v>
      </c>
      <c r="L123" s="31">
        <f>410</f>
        <v>410</v>
      </c>
      <c r="M123" s="31">
        <v>0</v>
      </c>
      <c r="N123" s="32">
        <f t="shared" si="17"/>
        <v>4682</v>
      </c>
    </row>
    <row r="124" spans="1:18" ht="35.25" customHeight="1" x14ac:dyDescent="0.25">
      <c r="A124" s="29" t="s">
        <v>144</v>
      </c>
      <c r="B124" s="144" t="s">
        <v>84</v>
      </c>
      <c r="C124" s="31">
        <v>10059</v>
      </c>
      <c r="D124" s="31">
        <v>0</v>
      </c>
      <c r="E124" s="31">
        <f t="shared" si="25"/>
        <v>10059</v>
      </c>
      <c r="F124" s="31">
        <v>564</v>
      </c>
      <c r="G124" s="31">
        <v>0</v>
      </c>
      <c r="H124" s="31">
        <f t="shared" si="27"/>
        <v>10623</v>
      </c>
      <c r="I124" s="31">
        <v>-784</v>
      </c>
      <c r="J124" s="31">
        <v>0</v>
      </c>
      <c r="K124" s="31">
        <f t="shared" si="24"/>
        <v>9839</v>
      </c>
      <c r="L124" s="31">
        <f>-52</f>
        <v>-52</v>
      </c>
      <c r="M124" s="31">
        <v>0</v>
      </c>
      <c r="N124" s="32">
        <f t="shared" si="17"/>
        <v>9787</v>
      </c>
    </row>
    <row r="125" spans="1:18" ht="39" customHeight="1" x14ac:dyDescent="0.25">
      <c r="A125" s="29" t="s">
        <v>145</v>
      </c>
      <c r="B125" s="144" t="s">
        <v>146</v>
      </c>
      <c r="C125" s="31">
        <v>0</v>
      </c>
      <c r="D125" s="31"/>
      <c r="E125" s="31"/>
      <c r="F125" s="31"/>
      <c r="G125" s="31"/>
      <c r="H125" s="31">
        <v>0</v>
      </c>
      <c r="I125" s="31">
        <v>18.91</v>
      </c>
      <c r="J125" s="31">
        <v>0</v>
      </c>
      <c r="K125" s="31">
        <f t="shared" si="24"/>
        <v>18.91</v>
      </c>
      <c r="L125" s="31">
        <v>0</v>
      </c>
      <c r="M125" s="31">
        <v>0</v>
      </c>
      <c r="N125" s="32">
        <f t="shared" si="17"/>
        <v>18.91</v>
      </c>
    </row>
    <row r="126" spans="1:18" ht="17.25" customHeight="1" x14ac:dyDescent="0.25">
      <c r="A126" s="29" t="s">
        <v>147</v>
      </c>
      <c r="B126" s="144" t="s">
        <v>115</v>
      </c>
      <c r="C126" s="31">
        <v>0</v>
      </c>
      <c r="D126" s="31"/>
      <c r="E126" s="31">
        <f>74.55</f>
        <v>74.55</v>
      </c>
      <c r="F126" s="31">
        <v>0</v>
      </c>
      <c r="G126" s="31">
        <v>0</v>
      </c>
      <c r="H126" s="31">
        <f t="shared" si="27"/>
        <v>74.55</v>
      </c>
      <c r="I126" s="31">
        <v>0</v>
      </c>
      <c r="J126" s="31">
        <v>0</v>
      </c>
      <c r="K126" s="31">
        <f t="shared" si="24"/>
        <v>74.55</v>
      </c>
      <c r="L126" s="31">
        <v>0</v>
      </c>
      <c r="M126" s="31">
        <v>0</v>
      </c>
      <c r="N126" s="32">
        <f t="shared" si="17"/>
        <v>74.55</v>
      </c>
    </row>
    <row r="127" spans="1:18" ht="17.25" customHeight="1" x14ac:dyDescent="0.25">
      <c r="A127" s="29" t="s">
        <v>147</v>
      </c>
      <c r="B127" s="144" t="s">
        <v>153</v>
      </c>
      <c r="C127" s="31">
        <v>0</v>
      </c>
      <c r="D127" s="31"/>
      <c r="E127" s="31"/>
      <c r="F127" s="31"/>
      <c r="G127" s="31"/>
      <c r="H127" s="31"/>
      <c r="I127" s="31"/>
      <c r="J127" s="31"/>
      <c r="K127" s="31">
        <v>0</v>
      </c>
      <c r="L127" s="31">
        <v>0</v>
      </c>
      <c r="M127" s="31">
        <f>98.32</f>
        <v>98.32</v>
      </c>
      <c r="N127" s="32">
        <f>SUM(K127:M127)</f>
        <v>98.32</v>
      </c>
    </row>
    <row r="128" spans="1:18" x14ac:dyDescent="0.25">
      <c r="A128" s="140" t="s">
        <v>148</v>
      </c>
      <c r="B128" s="144" t="s">
        <v>84</v>
      </c>
      <c r="C128" s="31">
        <v>7008</v>
      </c>
      <c r="D128" s="31">
        <v>0</v>
      </c>
      <c r="E128" s="31">
        <f t="shared" si="25"/>
        <v>7008</v>
      </c>
      <c r="F128" s="31">
        <v>422</v>
      </c>
      <c r="G128" s="31">
        <v>0</v>
      </c>
      <c r="H128" s="31">
        <f t="shared" si="27"/>
        <v>7430</v>
      </c>
      <c r="I128" s="31">
        <v>0</v>
      </c>
      <c r="J128" s="31">
        <v>0</v>
      </c>
      <c r="K128" s="31">
        <f t="shared" si="24"/>
        <v>7430</v>
      </c>
      <c r="L128" s="31">
        <f>113.8</f>
        <v>113.8</v>
      </c>
      <c r="M128" s="31">
        <v>0</v>
      </c>
      <c r="N128" s="32">
        <f t="shared" si="17"/>
        <v>7543.8</v>
      </c>
    </row>
    <row r="129" spans="1:14" x14ac:dyDescent="0.25">
      <c r="A129" s="140" t="s">
        <v>149</v>
      </c>
      <c r="B129" s="144" t="s">
        <v>84</v>
      </c>
      <c r="C129" s="31">
        <v>9244</v>
      </c>
      <c r="D129" s="31">
        <v>0</v>
      </c>
      <c r="E129" s="31">
        <f t="shared" si="25"/>
        <v>9244</v>
      </c>
      <c r="F129" s="31">
        <v>323</v>
      </c>
      <c r="G129" s="31">
        <v>0</v>
      </c>
      <c r="H129" s="31">
        <f t="shared" si="27"/>
        <v>9567</v>
      </c>
      <c r="I129" s="31">
        <v>0</v>
      </c>
      <c r="J129" s="31">
        <v>0</v>
      </c>
      <c r="K129" s="31">
        <f t="shared" si="24"/>
        <v>9567</v>
      </c>
      <c r="L129" s="31">
        <f>22</f>
        <v>22</v>
      </c>
      <c r="M129" s="31">
        <v>0</v>
      </c>
      <c r="N129" s="32">
        <f t="shared" si="17"/>
        <v>9589</v>
      </c>
    </row>
    <row r="130" spans="1:14" x14ac:dyDescent="0.25">
      <c r="A130" s="140" t="s">
        <v>150</v>
      </c>
      <c r="B130" s="144" t="s">
        <v>84</v>
      </c>
      <c r="C130" s="31">
        <v>6269</v>
      </c>
      <c r="D130" s="31">
        <v>0</v>
      </c>
      <c r="E130" s="31">
        <f t="shared" si="25"/>
        <v>6269</v>
      </c>
      <c r="F130" s="31">
        <v>467</v>
      </c>
      <c r="G130" s="31">
        <v>0</v>
      </c>
      <c r="H130" s="31">
        <f t="shared" si="27"/>
        <v>6736</v>
      </c>
      <c r="I130" s="31">
        <v>0</v>
      </c>
      <c r="J130" s="31">
        <v>0</v>
      </c>
      <c r="K130" s="31">
        <f t="shared" si="24"/>
        <v>6736</v>
      </c>
      <c r="L130" s="31">
        <f>58</f>
        <v>58</v>
      </c>
      <c r="M130" s="31">
        <v>0</v>
      </c>
      <c r="N130" s="32">
        <f t="shared" si="17"/>
        <v>6794</v>
      </c>
    </row>
    <row r="131" spans="1:14" x14ac:dyDescent="0.25">
      <c r="A131" s="140" t="s">
        <v>151</v>
      </c>
      <c r="B131" s="144" t="s">
        <v>84</v>
      </c>
      <c r="C131" s="31">
        <v>2373</v>
      </c>
      <c r="D131" s="31">
        <v>0</v>
      </c>
      <c r="E131" s="31">
        <f t="shared" si="25"/>
        <v>2373</v>
      </c>
      <c r="F131" s="31">
        <v>172</v>
      </c>
      <c r="G131" s="31">
        <v>0</v>
      </c>
      <c r="H131" s="31">
        <f t="shared" si="27"/>
        <v>2545</v>
      </c>
      <c r="I131" s="31">
        <v>0</v>
      </c>
      <c r="J131" s="31">
        <v>0</v>
      </c>
      <c r="K131" s="31">
        <f t="shared" si="24"/>
        <v>2545</v>
      </c>
      <c r="L131" s="31">
        <f>12+800</f>
        <v>812</v>
      </c>
      <c r="M131" s="31">
        <v>0</v>
      </c>
      <c r="N131" s="32">
        <f t="shared" si="17"/>
        <v>3357</v>
      </c>
    </row>
    <row r="132" spans="1:14" x14ac:dyDescent="0.25">
      <c r="A132" s="140" t="s">
        <v>152</v>
      </c>
      <c r="B132" s="144" t="s">
        <v>153</v>
      </c>
      <c r="C132" s="31">
        <v>0</v>
      </c>
      <c r="D132" s="31"/>
      <c r="E132" s="31"/>
      <c r="F132" s="31"/>
      <c r="G132" s="31"/>
      <c r="H132" s="31"/>
      <c r="I132" s="31"/>
      <c r="J132" s="31"/>
      <c r="K132" s="31">
        <f>68.7</f>
        <v>68.7</v>
      </c>
      <c r="L132" s="31">
        <v>0</v>
      </c>
      <c r="M132" s="31">
        <v>0</v>
      </c>
      <c r="N132" s="32">
        <f t="shared" si="17"/>
        <v>68.7</v>
      </c>
    </row>
    <row r="133" spans="1:14" ht="15.75" customHeight="1" x14ac:dyDescent="0.25">
      <c r="A133" s="140" t="s">
        <v>154</v>
      </c>
      <c r="B133" s="144" t="s">
        <v>84</v>
      </c>
      <c r="C133" s="31">
        <v>1291</v>
      </c>
      <c r="D133" s="31">
        <v>0</v>
      </c>
      <c r="E133" s="31">
        <f t="shared" si="25"/>
        <v>1291</v>
      </c>
      <c r="F133" s="31">
        <v>100</v>
      </c>
      <c r="G133" s="31">
        <v>0</v>
      </c>
      <c r="H133" s="31">
        <f t="shared" si="27"/>
        <v>1391</v>
      </c>
      <c r="I133" s="31">
        <v>0</v>
      </c>
      <c r="J133" s="31">
        <v>0</v>
      </c>
      <c r="K133" s="31">
        <f t="shared" si="24"/>
        <v>1391</v>
      </c>
      <c r="L133" s="31">
        <f>24</f>
        <v>24</v>
      </c>
      <c r="M133" s="31">
        <v>0</v>
      </c>
      <c r="N133" s="32">
        <f t="shared" si="17"/>
        <v>1415</v>
      </c>
    </row>
    <row r="134" spans="1:14" x14ac:dyDescent="0.25">
      <c r="A134" s="140" t="s">
        <v>155</v>
      </c>
      <c r="B134" s="144" t="s">
        <v>84</v>
      </c>
      <c r="C134" s="31">
        <v>10249</v>
      </c>
      <c r="D134" s="31">
        <v>0</v>
      </c>
      <c r="E134" s="31">
        <f t="shared" si="25"/>
        <v>10249</v>
      </c>
      <c r="F134" s="31">
        <v>458</v>
      </c>
      <c r="G134" s="31">
        <v>0</v>
      </c>
      <c r="H134" s="31">
        <f t="shared" si="27"/>
        <v>10707</v>
      </c>
      <c r="I134" s="31">
        <v>0</v>
      </c>
      <c r="J134" s="31">
        <v>0</v>
      </c>
      <c r="K134" s="31">
        <f t="shared" si="24"/>
        <v>10707</v>
      </c>
      <c r="L134" s="31">
        <f>136.88</f>
        <v>136.88</v>
      </c>
      <c r="M134" s="31">
        <v>0</v>
      </c>
      <c r="N134" s="32">
        <f t="shared" si="17"/>
        <v>10843.88</v>
      </c>
    </row>
    <row r="135" spans="1:14" x14ac:dyDescent="0.25">
      <c r="A135" s="140" t="s">
        <v>156</v>
      </c>
      <c r="B135" s="144" t="s">
        <v>115</v>
      </c>
      <c r="C135" s="31">
        <v>0</v>
      </c>
      <c r="D135" s="31"/>
      <c r="E135" s="31">
        <f>38.91</f>
        <v>38.909999999999997</v>
      </c>
      <c r="F135" s="31">
        <v>0</v>
      </c>
      <c r="G135" s="31">
        <v>0</v>
      </c>
      <c r="H135" s="31">
        <f t="shared" si="27"/>
        <v>38.909999999999997</v>
      </c>
      <c r="I135" s="31">
        <v>0</v>
      </c>
      <c r="J135" s="31">
        <f>2.04</f>
        <v>2.04</v>
      </c>
      <c r="K135" s="31">
        <f t="shared" si="24"/>
        <v>40.949999999999996</v>
      </c>
      <c r="L135" s="31">
        <v>0</v>
      </c>
      <c r="M135" s="31">
        <v>0</v>
      </c>
      <c r="N135" s="32">
        <f t="shared" si="17"/>
        <v>40.949999999999996</v>
      </c>
    </row>
    <row r="136" spans="1:14" x14ac:dyDescent="0.25">
      <c r="A136" s="140" t="s">
        <v>156</v>
      </c>
      <c r="B136" s="144" t="s">
        <v>153</v>
      </c>
      <c r="C136" s="31">
        <v>0</v>
      </c>
      <c r="D136" s="31"/>
      <c r="E136" s="31"/>
      <c r="F136" s="31"/>
      <c r="G136" s="31"/>
      <c r="H136" s="31"/>
      <c r="I136" s="31"/>
      <c r="J136" s="31"/>
      <c r="K136" s="31">
        <v>0</v>
      </c>
      <c r="L136" s="31">
        <v>0</v>
      </c>
      <c r="M136" s="31">
        <f>50.92</f>
        <v>50.92</v>
      </c>
      <c r="N136" s="32">
        <f>SUM(K136:M136)</f>
        <v>50.92</v>
      </c>
    </row>
    <row r="137" spans="1:14" x14ac:dyDescent="0.25">
      <c r="A137" s="140" t="s">
        <v>157</v>
      </c>
      <c r="B137" s="144" t="s">
        <v>84</v>
      </c>
      <c r="C137" s="31">
        <v>1567</v>
      </c>
      <c r="D137" s="31">
        <v>0</v>
      </c>
      <c r="E137" s="31">
        <f t="shared" si="25"/>
        <v>1567</v>
      </c>
      <c r="F137" s="31">
        <v>187</v>
      </c>
      <c r="G137" s="31">
        <v>0</v>
      </c>
      <c r="H137" s="31">
        <f t="shared" si="27"/>
        <v>1754</v>
      </c>
      <c r="I137" s="31">
        <v>0</v>
      </c>
      <c r="J137" s="31">
        <v>0</v>
      </c>
      <c r="K137" s="31">
        <f t="shared" si="24"/>
        <v>1754</v>
      </c>
      <c r="L137" s="31">
        <f>0.98</f>
        <v>0.98</v>
      </c>
      <c r="M137" s="31">
        <v>0</v>
      </c>
      <c r="N137" s="32">
        <f t="shared" si="17"/>
        <v>1754.98</v>
      </c>
    </row>
    <row r="138" spans="1:14" x14ac:dyDescent="0.25">
      <c r="A138" s="140" t="s">
        <v>158</v>
      </c>
      <c r="B138" s="144" t="s">
        <v>84</v>
      </c>
      <c r="C138" s="31">
        <v>1647</v>
      </c>
      <c r="D138" s="31">
        <v>0</v>
      </c>
      <c r="E138" s="31">
        <f t="shared" si="25"/>
        <v>1647</v>
      </c>
      <c r="F138" s="31">
        <v>0</v>
      </c>
      <c r="G138" s="31">
        <v>0</v>
      </c>
      <c r="H138" s="31">
        <f t="shared" si="27"/>
        <v>1647</v>
      </c>
      <c r="I138" s="31">
        <v>0</v>
      </c>
      <c r="J138" s="31">
        <v>0</v>
      </c>
      <c r="K138" s="31">
        <f t="shared" si="24"/>
        <v>1647</v>
      </c>
      <c r="L138" s="31">
        <v>0</v>
      </c>
      <c r="M138" s="31">
        <v>0</v>
      </c>
      <c r="N138" s="32">
        <f t="shared" si="17"/>
        <v>1647</v>
      </c>
    </row>
    <row r="139" spans="1:14" x14ac:dyDescent="0.25">
      <c r="A139" s="140" t="s">
        <v>159</v>
      </c>
      <c r="B139" s="144" t="s">
        <v>160</v>
      </c>
      <c r="C139" s="31">
        <v>0</v>
      </c>
      <c r="D139" s="31"/>
      <c r="E139" s="31"/>
      <c r="F139" s="31"/>
      <c r="G139" s="31"/>
      <c r="H139" s="31"/>
      <c r="I139" s="31"/>
      <c r="J139" s="31"/>
      <c r="K139" s="31">
        <v>0</v>
      </c>
      <c r="L139" s="31">
        <f>190</f>
        <v>190</v>
      </c>
      <c r="M139" s="31">
        <v>0</v>
      </c>
      <c r="N139" s="32">
        <f t="shared" si="17"/>
        <v>190</v>
      </c>
    </row>
    <row r="140" spans="1:14" x14ac:dyDescent="0.25">
      <c r="A140" s="140" t="s">
        <v>161</v>
      </c>
      <c r="B140" s="144" t="s">
        <v>84</v>
      </c>
      <c r="C140" s="31">
        <v>0</v>
      </c>
      <c r="D140" s="31"/>
      <c r="E140" s="31"/>
      <c r="F140" s="31"/>
      <c r="G140" s="31"/>
      <c r="H140" s="31">
        <f>188</f>
        <v>188</v>
      </c>
      <c r="I140" s="31">
        <v>0</v>
      </c>
      <c r="J140" s="31">
        <v>0</v>
      </c>
      <c r="K140" s="31">
        <f t="shared" si="24"/>
        <v>188</v>
      </c>
      <c r="L140" s="31">
        <v>0</v>
      </c>
      <c r="M140" s="31">
        <v>0</v>
      </c>
      <c r="N140" s="32">
        <f t="shared" si="17"/>
        <v>188</v>
      </c>
    </row>
    <row r="141" spans="1:14" x14ac:dyDescent="0.25">
      <c r="A141" s="140" t="s">
        <v>162</v>
      </c>
      <c r="B141" s="144" t="s">
        <v>84</v>
      </c>
      <c r="C141" s="31">
        <v>0</v>
      </c>
      <c r="D141" s="31"/>
      <c r="E141" s="31"/>
      <c r="F141" s="31"/>
      <c r="G141" s="31"/>
      <c r="H141" s="31"/>
      <c r="I141" s="31"/>
      <c r="J141" s="31"/>
      <c r="K141" s="31">
        <f>242.77</f>
        <v>242.77</v>
      </c>
      <c r="L141" s="31">
        <v>0</v>
      </c>
      <c r="M141" s="31">
        <v>0</v>
      </c>
      <c r="N141" s="32">
        <f t="shared" si="17"/>
        <v>242.77</v>
      </c>
    </row>
    <row r="142" spans="1:14" ht="25.5" x14ac:dyDescent="0.25">
      <c r="A142" s="29" t="s">
        <v>163</v>
      </c>
      <c r="B142" s="144" t="s">
        <v>136</v>
      </c>
      <c r="C142" s="31">
        <v>0</v>
      </c>
      <c r="D142" s="31"/>
      <c r="E142" s="31"/>
      <c r="F142" s="31"/>
      <c r="G142" s="31"/>
      <c r="H142" s="31"/>
      <c r="I142" s="31"/>
      <c r="J142" s="31"/>
      <c r="K142" s="31">
        <v>0</v>
      </c>
      <c r="L142" s="31">
        <v>0</v>
      </c>
      <c r="M142" s="31">
        <f>142.5</f>
        <v>142.5</v>
      </c>
      <c r="N142" s="32">
        <f>SUM(K142:M142)</f>
        <v>142.5</v>
      </c>
    </row>
    <row r="143" spans="1:14" ht="25.5" x14ac:dyDescent="0.25">
      <c r="A143" s="29" t="s">
        <v>164</v>
      </c>
      <c r="B143" s="144" t="s">
        <v>136</v>
      </c>
      <c r="C143" s="31">
        <v>0</v>
      </c>
      <c r="D143" s="31"/>
      <c r="E143" s="31"/>
      <c r="F143" s="31"/>
      <c r="G143" s="31"/>
      <c r="H143" s="31"/>
      <c r="I143" s="31"/>
      <c r="J143" s="31"/>
      <c r="K143" s="31">
        <v>0</v>
      </c>
      <c r="L143" s="31">
        <v>0</v>
      </c>
      <c r="M143" s="31">
        <f>7.5</f>
        <v>7.5</v>
      </c>
      <c r="N143" s="32">
        <f>SUM(K143:M143)</f>
        <v>7.5</v>
      </c>
    </row>
    <row r="144" spans="1:14" x14ac:dyDescent="0.25">
      <c r="A144" s="140" t="s">
        <v>165</v>
      </c>
      <c r="B144" s="144" t="s">
        <v>84</v>
      </c>
      <c r="C144" s="31">
        <v>275</v>
      </c>
      <c r="D144" s="31">
        <v>0</v>
      </c>
      <c r="E144" s="31">
        <f t="shared" si="25"/>
        <v>275</v>
      </c>
      <c r="F144" s="31">
        <v>0</v>
      </c>
      <c r="G144" s="31">
        <v>0</v>
      </c>
      <c r="H144" s="31">
        <f t="shared" si="27"/>
        <v>275</v>
      </c>
      <c r="I144" s="31">
        <v>0</v>
      </c>
      <c r="J144" s="31">
        <v>0</v>
      </c>
      <c r="K144" s="31">
        <f t="shared" si="24"/>
        <v>275</v>
      </c>
      <c r="L144" s="31">
        <v>0</v>
      </c>
      <c r="M144" s="31">
        <v>0</v>
      </c>
      <c r="N144" s="32">
        <f t="shared" si="17"/>
        <v>275</v>
      </c>
    </row>
    <row r="145" spans="1:14" ht="15.75" customHeight="1" x14ac:dyDescent="0.25">
      <c r="A145" s="140" t="s">
        <v>166</v>
      </c>
      <c r="B145" s="144" t="s">
        <v>84</v>
      </c>
      <c r="C145" s="31">
        <v>16616</v>
      </c>
      <c r="D145" s="31">
        <v>0</v>
      </c>
      <c r="E145" s="31">
        <f t="shared" si="25"/>
        <v>16616</v>
      </c>
      <c r="F145" s="31">
        <v>0</v>
      </c>
      <c r="G145" s="31">
        <v>0</v>
      </c>
      <c r="H145" s="31">
        <f t="shared" si="27"/>
        <v>16616</v>
      </c>
      <c r="I145" s="31">
        <v>1039</v>
      </c>
      <c r="J145" s="31">
        <v>0</v>
      </c>
      <c r="K145" s="31">
        <f t="shared" si="24"/>
        <v>17655</v>
      </c>
      <c r="L145" s="31">
        <v>0</v>
      </c>
      <c r="M145" s="31">
        <v>0</v>
      </c>
      <c r="N145" s="32">
        <f t="shared" si="17"/>
        <v>17655</v>
      </c>
    </row>
    <row r="146" spans="1:14" ht="15.75" customHeight="1" x14ac:dyDescent="0.25">
      <c r="A146" s="140" t="s">
        <v>167</v>
      </c>
      <c r="B146" s="144" t="s">
        <v>84</v>
      </c>
      <c r="C146" s="31">
        <v>0</v>
      </c>
      <c r="D146" s="31"/>
      <c r="E146" s="31">
        <v>0</v>
      </c>
      <c r="F146" s="31">
        <v>0</v>
      </c>
      <c r="G146" s="31">
        <f>1678</f>
        <v>1678</v>
      </c>
      <c r="H146" s="31">
        <f>SUM(E146:G146)</f>
        <v>1678</v>
      </c>
      <c r="I146" s="31">
        <v>0</v>
      </c>
      <c r="J146" s="31">
        <v>0</v>
      </c>
      <c r="K146" s="31">
        <f t="shared" si="24"/>
        <v>1678</v>
      </c>
      <c r="L146" s="31">
        <v>0</v>
      </c>
      <c r="M146" s="31">
        <v>0</v>
      </c>
      <c r="N146" s="32">
        <f t="shared" si="17"/>
        <v>1678</v>
      </c>
    </row>
    <row r="147" spans="1:14" ht="15.75" customHeight="1" x14ac:dyDescent="0.25">
      <c r="A147" s="140" t="s">
        <v>168</v>
      </c>
      <c r="B147" s="144" t="s">
        <v>84</v>
      </c>
      <c r="C147" s="31">
        <v>0</v>
      </c>
      <c r="D147" s="31"/>
      <c r="E147" s="31"/>
      <c r="F147" s="31"/>
      <c r="G147" s="31"/>
      <c r="H147" s="31"/>
      <c r="I147" s="31"/>
      <c r="J147" s="31"/>
      <c r="K147" s="31">
        <f>159</f>
        <v>159</v>
      </c>
      <c r="L147" s="31">
        <v>0</v>
      </c>
      <c r="M147" s="31">
        <v>0</v>
      </c>
      <c r="N147" s="32">
        <f t="shared" si="17"/>
        <v>159</v>
      </c>
    </row>
    <row r="148" spans="1:14" ht="15.75" customHeight="1" x14ac:dyDescent="0.25">
      <c r="A148" s="140" t="s">
        <v>169</v>
      </c>
      <c r="B148" s="144" t="s">
        <v>84</v>
      </c>
      <c r="C148" s="31">
        <v>0</v>
      </c>
      <c r="D148" s="31"/>
      <c r="E148" s="31"/>
      <c r="F148" s="31"/>
      <c r="G148" s="31"/>
      <c r="H148" s="31">
        <v>0</v>
      </c>
      <c r="I148" s="31">
        <v>0</v>
      </c>
      <c r="J148" s="31">
        <f>12</f>
        <v>12</v>
      </c>
      <c r="K148" s="31">
        <f>SUM(H148:J148)</f>
        <v>12</v>
      </c>
      <c r="L148" s="31">
        <v>0</v>
      </c>
      <c r="M148" s="31">
        <v>0</v>
      </c>
      <c r="N148" s="32">
        <f t="shared" ref="N148:N211" si="28">SUM(K148:M148)</f>
        <v>12</v>
      </c>
    </row>
    <row r="149" spans="1:14" x14ac:dyDescent="0.25">
      <c r="A149" s="140" t="s">
        <v>170</v>
      </c>
      <c r="B149" s="144" t="s">
        <v>84</v>
      </c>
      <c r="C149" s="31">
        <v>21765</v>
      </c>
      <c r="D149" s="31">
        <v>0</v>
      </c>
      <c r="E149" s="31">
        <f t="shared" si="25"/>
        <v>21765</v>
      </c>
      <c r="F149" s="31">
        <v>0</v>
      </c>
      <c r="G149" s="31">
        <v>0</v>
      </c>
      <c r="H149" s="31">
        <f t="shared" si="27"/>
        <v>21765</v>
      </c>
      <c r="I149" s="31">
        <v>0</v>
      </c>
      <c r="J149" s="31">
        <v>0</v>
      </c>
      <c r="K149" s="31">
        <f t="shared" si="24"/>
        <v>21765</v>
      </c>
      <c r="L149" s="31">
        <v>0</v>
      </c>
      <c r="M149" s="31">
        <v>0</v>
      </c>
      <c r="N149" s="32">
        <f t="shared" si="28"/>
        <v>21765</v>
      </c>
    </row>
    <row r="150" spans="1:14" ht="77.25" customHeight="1" x14ac:dyDescent="0.25">
      <c r="A150" s="29" t="s">
        <v>171</v>
      </c>
      <c r="B150" s="144" t="s">
        <v>172</v>
      </c>
      <c r="C150" s="31">
        <v>0</v>
      </c>
      <c r="D150" s="31"/>
      <c r="E150" s="31">
        <v>0</v>
      </c>
      <c r="F150" s="31">
        <v>150</v>
      </c>
      <c r="G150" s="31">
        <v>0</v>
      </c>
      <c r="H150" s="31">
        <f t="shared" si="27"/>
        <v>150</v>
      </c>
      <c r="I150" s="31">
        <v>0</v>
      </c>
      <c r="J150" s="31">
        <v>0</v>
      </c>
      <c r="K150" s="31">
        <f t="shared" si="24"/>
        <v>150</v>
      </c>
      <c r="L150" s="31">
        <v>0</v>
      </c>
      <c r="M150" s="31">
        <v>0</v>
      </c>
      <c r="N150" s="32">
        <f t="shared" si="28"/>
        <v>150</v>
      </c>
    </row>
    <row r="151" spans="1:14" ht="28.5" customHeight="1" x14ac:dyDescent="0.25">
      <c r="A151" s="29" t="s">
        <v>173</v>
      </c>
      <c r="B151" s="144" t="s">
        <v>174</v>
      </c>
      <c r="C151" s="31">
        <v>0</v>
      </c>
      <c r="D151" s="31"/>
      <c r="E151" s="31">
        <v>0</v>
      </c>
      <c r="F151" s="31">
        <v>200</v>
      </c>
      <c r="G151" s="31">
        <v>0</v>
      </c>
      <c r="H151" s="31">
        <f t="shared" si="27"/>
        <v>200</v>
      </c>
      <c r="I151" s="31">
        <v>0</v>
      </c>
      <c r="J151" s="31">
        <v>0</v>
      </c>
      <c r="K151" s="31">
        <f t="shared" si="24"/>
        <v>200</v>
      </c>
      <c r="L151" s="31">
        <v>0</v>
      </c>
      <c r="M151" s="31">
        <v>0</v>
      </c>
      <c r="N151" s="32">
        <f t="shared" si="28"/>
        <v>200</v>
      </c>
    </row>
    <row r="152" spans="1:14" ht="16.5" customHeight="1" x14ac:dyDescent="0.25">
      <c r="A152" s="140" t="s">
        <v>175</v>
      </c>
      <c r="B152" s="144" t="s">
        <v>84</v>
      </c>
      <c r="C152" s="31">
        <v>400</v>
      </c>
      <c r="D152" s="31">
        <v>0</v>
      </c>
      <c r="E152" s="31">
        <f t="shared" si="25"/>
        <v>400</v>
      </c>
      <c r="F152" s="31">
        <v>0</v>
      </c>
      <c r="G152" s="31">
        <v>0</v>
      </c>
      <c r="H152" s="31">
        <f t="shared" si="27"/>
        <v>400</v>
      </c>
      <c r="I152" s="31">
        <v>0</v>
      </c>
      <c r="J152" s="31">
        <v>0</v>
      </c>
      <c r="K152" s="31">
        <f t="shared" si="24"/>
        <v>400</v>
      </c>
      <c r="L152" s="31">
        <v>0</v>
      </c>
      <c r="M152" s="31">
        <v>0</v>
      </c>
      <c r="N152" s="32">
        <f t="shared" si="28"/>
        <v>400</v>
      </c>
    </row>
    <row r="153" spans="1:14" ht="17.25" customHeight="1" x14ac:dyDescent="0.25">
      <c r="A153" s="29" t="s">
        <v>176</v>
      </c>
      <c r="B153" s="144" t="s">
        <v>84</v>
      </c>
      <c r="C153" s="31">
        <v>137.4</v>
      </c>
      <c r="D153" s="31">
        <v>0</v>
      </c>
      <c r="E153" s="31">
        <f t="shared" si="25"/>
        <v>137.4</v>
      </c>
      <c r="F153" s="31">
        <v>0</v>
      </c>
      <c r="G153" s="31">
        <v>0</v>
      </c>
      <c r="H153" s="31">
        <f t="shared" si="27"/>
        <v>137.4</v>
      </c>
      <c r="I153" s="31">
        <v>0</v>
      </c>
      <c r="J153" s="31">
        <v>0</v>
      </c>
      <c r="K153" s="31">
        <f t="shared" si="24"/>
        <v>137.4</v>
      </c>
      <c r="L153" s="31">
        <v>0</v>
      </c>
      <c r="M153" s="31">
        <v>0</v>
      </c>
      <c r="N153" s="32">
        <f t="shared" si="28"/>
        <v>137.4</v>
      </c>
    </row>
    <row r="154" spans="1:14" ht="30" customHeight="1" x14ac:dyDescent="0.25">
      <c r="A154" s="29" t="s">
        <v>177</v>
      </c>
      <c r="B154" s="144" t="s">
        <v>84</v>
      </c>
      <c r="C154" s="31">
        <v>200</v>
      </c>
      <c r="D154" s="31">
        <v>0</v>
      </c>
      <c r="E154" s="31">
        <f t="shared" si="25"/>
        <v>200</v>
      </c>
      <c r="F154" s="31">
        <v>0</v>
      </c>
      <c r="G154" s="31">
        <v>0</v>
      </c>
      <c r="H154" s="31">
        <f t="shared" si="27"/>
        <v>200</v>
      </c>
      <c r="I154" s="31">
        <v>0</v>
      </c>
      <c r="J154" s="31">
        <v>0</v>
      </c>
      <c r="K154" s="31">
        <f t="shared" si="24"/>
        <v>200</v>
      </c>
      <c r="L154" s="31">
        <v>0</v>
      </c>
      <c r="M154" s="31">
        <v>0</v>
      </c>
      <c r="N154" s="32">
        <f t="shared" si="28"/>
        <v>200</v>
      </c>
    </row>
    <row r="155" spans="1:14" ht="16.5" customHeight="1" x14ac:dyDescent="0.25">
      <c r="A155" s="29" t="s">
        <v>178</v>
      </c>
      <c r="B155" s="144" t="s">
        <v>179</v>
      </c>
      <c r="C155" s="31">
        <v>50</v>
      </c>
      <c r="D155" s="31">
        <v>0</v>
      </c>
      <c r="E155" s="31">
        <f t="shared" si="25"/>
        <v>50</v>
      </c>
      <c r="F155" s="31">
        <v>0</v>
      </c>
      <c r="G155" s="31">
        <v>0</v>
      </c>
      <c r="H155" s="31">
        <f t="shared" si="27"/>
        <v>50</v>
      </c>
      <c r="I155" s="31">
        <v>0</v>
      </c>
      <c r="J155" s="31">
        <v>0</v>
      </c>
      <c r="K155" s="31">
        <f t="shared" si="24"/>
        <v>50</v>
      </c>
      <c r="L155" s="31">
        <v>0</v>
      </c>
      <c r="M155" s="31">
        <v>0</v>
      </c>
      <c r="N155" s="32">
        <f t="shared" si="28"/>
        <v>50</v>
      </c>
    </row>
    <row r="156" spans="1:14" ht="26.25" customHeight="1" x14ac:dyDescent="0.25">
      <c r="A156" s="29" t="s">
        <v>180</v>
      </c>
      <c r="B156" s="144" t="s">
        <v>84</v>
      </c>
      <c r="C156" s="31">
        <v>1700</v>
      </c>
      <c r="D156" s="31">
        <v>0</v>
      </c>
      <c r="E156" s="31">
        <f t="shared" si="25"/>
        <v>1700</v>
      </c>
      <c r="F156" s="31">
        <v>0</v>
      </c>
      <c r="G156" s="31">
        <v>0</v>
      </c>
      <c r="H156" s="31">
        <f t="shared" si="27"/>
        <v>1700</v>
      </c>
      <c r="I156" s="31">
        <v>0</v>
      </c>
      <c r="J156" s="31">
        <v>0</v>
      </c>
      <c r="K156" s="31">
        <f t="shared" si="24"/>
        <v>1700</v>
      </c>
      <c r="L156" s="31">
        <v>0</v>
      </c>
      <c r="M156" s="31">
        <v>0</v>
      </c>
      <c r="N156" s="32">
        <f t="shared" si="28"/>
        <v>1700</v>
      </c>
    </row>
    <row r="157" spans="1:14" ht="18.75" customHeight="1" x14ac:dyDescent="0.25">
      <c r="A157" s="29" t="s">
        <v>181</v>
      </c>
      <c r="B157" s="144" t="s">
        <v>84</v>
      </c>
      <c r="C157" s="31">
        <v>1700</v>
      </c>
      <c r="D157" s="31">
        <v>0</v>
      </c>
      <c r="E157" s="31">
        <f t="shared" si="25"/>
        <v>1700</v>
      </c>
      <c r="F157" s="31">
        <v>0</v>
      </c>
      <c r="G157" s="31">
        <v>0</v>
      </c>
      <c r="H157" s="31">
        <f t="shared" si="27"/>
        <v>1700</v>
      </c>
      <c r="I157" s="31">
        <v>0</v>
      </c>
      <c r="J157" s="31">
        <v>0</v>
      </c>
      <c r="K157" s="31">
        <f t="shared" si="24"/>
        <v>1700</v>
      </c>
      <c r="L157" s="31">
        <v>0</v>
      </c>
      <c r="M157" s="31">
        <v>0</v>
      </c>
      <c r="N157" s="32">
        <f t="shared" si="28"/>
        <v>1700</v>
      </c>
    </row>
    <row r="158" spans="1:14" ht="26.25" customHeight="1" x14ac:dyDescent="0.25">
      <c r="A158" s="29" t="s">
        <v>182</v>
      </c>
      <c r="B158" s="144" t="s">
        <v>84</v>
      </c>
      <c r="C158" s="31">
        <v>85</v>
      </c>
      <c r="D158" s="31">
        <v>0</v>
      </c>
      <c r="E158" s="31">
        <f t="shared" si="25"/>
        <v>85</v>
      </c>
      <c r="F158" s="31">
        <v>0</v>
      </c>
      <c r="G158" s="31">
        <v>0</v>
      </c>
      <c r="H158" s="31">
        <f t="shared" si="27"/>
        <v>85</v>
      </c>
      <c r="I158" s="31">
        <v>0</v>
      </c>
      <c r="J158" s="31">
        <v>0</v>
      </c>
      <c r="K158" s="31">
        <f t="shared" si="24"/>
        <v>85</v>
      </c>
      <c r="L158" s="31">
        <v>0</v>
      </c>
      <c r="M158" s="31">
        <v>0</v>
      </c>
      <c r="N158" s="32">
        <f t="shared" si="28"/>
        <v>85</v>
      </c>
    </row>
    <row r="159" spans="1:14" ht="18.75" customHeight="1" x14ac:dyDescent="0.25">
      <c r="A159" s="29" t="s">
        <v>183</v>
      </c>
      <c r="B159" s="144" t="s">
        <v>84</v>
      </c>
      <c r="C159" s="31">
        <v>1700</v>
      </c>
      <c r="D159" s="31">
        <v>0</v>
      </c>
      <c r="E159" s="31">
        <f t="shared" si="25"/>
        <v>1700</v>
      </c>
      <c r="F159" s="31">
        <v>0</v>
      </c>
      <c r="G159" s="31">
        <v>0</v>
      </c>
      <c r="H159" s="31">
        <f t="shared" si="27"/>
        <v>1700</v>
      </c>
      <c r="I159" s="31">
        <v>0</v>
      </c>
      <c r="J159" s="31">
        <v>0</v>
      </c>
      <c r="K159" s="31">
        <f t="shared" si="24"/>
        <v>1700</v>
      </c>
      <c r="L159" s="31">
        <v>0</v>
      </c>
      <c r="M159" s="31">
        <v>0</v>
      </c>
      <c r="N159" s="32">
        <f t="shared" si="28"/>
        <v>1700</v>
      </c>
    </row>
    <row r="160" spans="1:14" ht="26.25" customHeight="1" x14ac:dyDescent="0.25">
      <c r="A160" s="29" t="s">
        <v>184</v>
      </c>
      <c r="B160" s="144" t="s">
        <v>84</v>
      </c>
      <c r="C160" s="31">
        <v>1700</v>
      </c>
      <c r="D160" s="31">
        <v>0</v>
      </c>
      <c r="E160" s="31">
        <f t="shared" si="25"/>
        <v>1700</v>
      </c>
      <c r="F160" s="31">
        <v>0</v>
      </c>
      <c r="G160" s="31">
        <v>0</v>
      </c>
      <c r="H160" s="31">
        <f t="shared" si="27"/>
        <v>1700</v>
      </c>
      <c r="I160" s="31">
        <v>0</v>
      </c>
      <c r="J160" s="31">
        <v>0</v>
      </c>
      <c r="K160" s="31">
        <f t="shared" si="24"/>
        <v>1700</v>
      </c>
      <c r="L160" s="31">
        <v>0</v>
      </c>
      <c r="M160" s="31">
        <v>0</v>
      </c>
      <c r="N160" s="32">
        <f t="shared" si="28"/>
        <v>1700</v>
      </c>
    </row>
    <row r="161" spans="1:14" ht="41.25" customHeight="1" x14ac:dyDescent="0.25">
      <c r="A161" s="29" t="s">
        <v>185</v>
      </c>
      <c r="B161" s="144" t="s">
        <v>63</v>
      </c>
      <c r="C161" s="31">
        <v>0</v>
      </c>
      <c r="D161" s="31"/>
      <c r="E161" s="31"/>
      <c r="F161" s="31"/>
      <c r="G161" s="31"/>
      <c r="H161" s="31"/>
      <c r="I161" s="31"/>
      <c r="J161" s="31"/>
      <c r="K161" s="31">
        <v>0</v>
      </c>
      <c r="L161" s="31">
        <f>100</f>
        <v>100</v>
      </c>
      <c r="M161" s="31">
        <v>0</v>
      </c>
      <c r="N161" s="32">
        <f t="shared" si="28"/>
        <v>100</v>
      </c>
    </row>
    <row r="162" spans="1:14" ht="17.25" customHeight="1" x14ac:dyDescent="0.25">
      <c r="A162" s="29" t="s">
        <v>186</v>
      </c>
      <c r="B162" s="144" t="s">
        <v>84</v>
      </c>
      <c r="C162" s="31">
        <v>500</v>
      </c>
      <c r="D162" s="31">
        <v>0</v>
      </c>
      <c r="E162" s="31">
        <f t="shared" si="25"/>
        <v>500</v>
      </c>
      <c r="F162" s="31">
        <v>0</v>
      </c>
      <c r="G162" s="31">
        <v>0</v>
      </c>
      <c r="H162" s="31">
        <f t="shared" si="27"/>
        <v>500</v>
      </c>
      <c r="I162" s="31">
        <v>0</v>
      </c>
      <c r="J162" s="31">
        <v>0</v>
      </c>
      <c r="K162" s="31">
        <f t="shared" si="24"/>
        <v>500</v>
      </c>
      <c r="L162" s="31">
        <v>0</v>
      </c>
      <c r="M162" s="31">
        <v>0</v>
      </c>
      <c r="N162" s="32">
        <f t="shared" si="28"/>
        <v>500</v>
      </c>
    </row>
    <row r="163" spans="1:14" ht="15" customHeight="1" x14ac:dyDescent="0.25">
      <c r="A163" s="140" t="s">
        <v>187</v>
      </c>
      <c r="B163" s="144" t="s">
        <v>84</v>
      </c>
      <c r="C163" s="31">
        <v>250</v>
      </c>
      <c r="D163" s="31">
        <v>0</v>
      </c>
      <c r="E163" s="31">
        <f t="shared" si="25"/>
        <v>250</v>
      </c>
      <c r="F163" s="31">
        <v>0</v>
      </c>
      <c r="G163" s="31">
        <v>0</v>
      </c>
      <c r="H163" s="31">
        <f t="shared" si="27"/>
        <v>250</v>
      </c>
      <c r="I163" s="31">
        <v>0</v>
      </c>
      <c r="J163" s="31">
        <v>0</v>
      </c>
      <c r="K163" s="31">
        <f t="shared" si="24"/>
        <v>250</v>
      </c>
      <c r="L163" s="31">
        <v>0</v>
      </c>
      <c r="M163" s="31">
        <v>0</v>
      </c>
      <c r="N163" s="32">
        <f t="shared" si="28"/>
        <v>250</v>
      </c>
    </row>
    <row r="164" spans="1:14" ht="15" customHeight="1" x14ac:dyDescent="0.25">
      <c r="A164" s="140" t="s">
        <v>188</v>
      </c>
      <c r="B164" s="144" t="s">
        <v>189</v>
      </c>
      <c r="C164" s="31">
        <v>0</v>
      </c>
      <c r="D164" s="31"/>
      <c r="E164" s="31"/>
      <c r="F164" s="31"/>
      <c r="G164" s="31"/>
      <c r="H164" s="31"/>
      <c r="I164" s="31"/>
      <c r="J164" s="31"/>
      <c r="K164" s="31">
        <f>20</f>
        <v>20</v>
      </c>
      <c r="L164" s="31">
        <v>0</v>
      </c>
      <c r="M164" s="31">
        <v>0</v>
      </c>
      <c r="N164" s="32">
        <f t="shared" si="28"/>
        <v>20</v>
      </c>
    </row>
    <row r="165" spans="1:14" ht="28.5" customHeight="1" x14ac:dyDescent="0.25">
      <c r="A165" s="29" t="s">
        <v>190</v>
      </c>
      <c r="B165" s="144" t="s">
        <v>191</v>
      </c>
      <c r="C165" s="31">
        <v>0</v>
      </c>
      <c r="D165" s="31"/>
      <c r="E165" s="31"/>
      <c r="F165" s="31"/>
      <c r="G165" s="31"/>
      <c r="H165" s="31"/>
      <c r="I165" s="31"/>
      <c r="J165" s="31"/>
      <c r="K165" s="31">
        <f>40</f>
        <v>40</v>
      </c>
      <c r="L165" s="31">
        <v>0</v>
      </c>
      <c r="M165" s="31">
        <v>0</v>
      </c>
      <c r="N165" s="32">
        <f t="shared" si="28"/>
        <v>40</v>
      </c>
    </row>
    <row r="166" spans="1:14" ht="13.5" customHeight="1" x14ac:dyDescent="0.25">
      <c r="A166" s="140" t="s">
        <v>192</v>
      </c>
      <c r="B166" s="144" t="s">
        <v>84</v>
      </c>
      <c r="C166" s="31">
        <v>500</v>
      </c>
      <c r="D166" s="31">
        <v>0</v>
      </c>
      <c r="E166" s="31">
        <f t="shared" si="25"/>
        <v>500</v>
      </c>
      <c r="F166" s="31">
        <v>0</v>
      </c>
      <c r="G166" s="31">
        <v>0</v>
      </c>
      <c r="H166" s="31">
        <f t="shared" si="27"/>
        <v>500</v>
      </c>
      <c r="I166" s="31">
        <v>0</v>
      </c>
      <c r="J166" s="31">
        <v>0</v>
      </c>
      <c r="K166" s="31">
        <f t="shared" si="24"/>
        <v>500</v>
      </c>
      <c r="L166" s="31">
        <v>0</v>
      </c>
      <c r="M166" s="31">
        <v>0</v>
      </c>
      <c r="N166" s="32">
        <f t="shared" si="28"/>
        <v>500</v>
      </c>
    </row>
    <row r="167" spans="1:14" ht="15.75" customHeight="1" x14ac:dyDescent="0.25">
      <c r="A167" s="140" t="s">
        <v>193</v>
      </c>
      <c r="B167" s="144" t="s">
        <v>84</v>
      </c>
      <c r="C167" s="31">
        <v>50</v>
      </c>
      <c r="D167" s="31">
        <v>0</v>
      </c>
      <c r="E167" s="31">
        <f t="shared" si="25"/>
        <v>50</v>
      </c>
      <c r="F167" s="31">
        <v>0</v>
      </c>
      <c r="G167" s="31">
        <v>0</v>
      </c>
      <c r="H167" s="31">
        <f t="shared" si="27"/>
        <v>50</v>
      </c>
      <c r="I167" s="31">
        <v>0</v>
      </c>
      <c r="J167" s="31">
        <v>0</v>
      </c>
      <c r="K167" s="31">
        <f t="shared" si="24"/>
        <v>50</v>
      </c>
      <c r="L167" s="31">
        <v>0</v>
      </c>
      <c r="M167" s="31">
        <v>0</v>
      </c>
      <c r="N167" s="32">
        <f t="shared" si="28"/>
        <v>50</v>
      </c>
    </row>
    <row r="168" spans="1:14" x14ac:dyDescent="0.25">
      <c r="A168" s="140" t="s">
        <v>194</v>
      </c>
      <c r="B168" s="144" t="s">
        <v>84</v>
      </c>
      <c r="C168" s="31">
        <v>1200</v>
      </c>
      <c r="D168" s="31">
        <v>0</v>
      </c>
      <c r="E168" s="31">
        <f t="shared" si="25"/>
        <v>1200</v>
      </c>
      <c r="F168" s="31">
        <v>0</v>
      </c>
      <c r="G168" s="31">
        <v>0</v>
      </c>
      <c r="H168" s="31">
        <f t="shared" si="27"/>
        <v>1200</v>
      </c>
      <c r="I168" s="31">
        <v>0</v>
      </c>
      <c r="J168" s="31">
        <v>0</v>
      </c>
      <c r="K168" s="31">
        <f t="shared" si="24"/>
        <v>1200</v>
      </c>
      <c r="L168" s="31">
        <v>0</v>
      </c>
      <c r="M168" s="31">
        <v>0</v>
      </c>
      <c r="N168" s="32">
        <f t="shared" si="28"/>
        <v>1200</v>
      </c>
    </row>
    <row r="169" spans="1:14" ht="15.75" customHeight="1" x14ac:dyDescent="0.25">
      <c r="A169" s="29" t="s">
        <v>195</v>
      </c>
      <c r="B169" s="144" t="s">
        <v>84</v>
      </c>
      <c r="C169" s="31">
        <v>650</v>
      </c>
      <c r="D169" s="31">
        <v>0</v>
      </c>
      <c r="E169" s="31">
        <f t="shared" si="25"/>
        <v>650</v>
      </c>
      <c r="F169" s="31">
        <v>0</v>
      </c>
      <c r="G169" s="31">
        <v>0</v>
      </c>
      <c r="H169" s="31">
        <f t="shared" si="27"/>
        <v>650</v>
      </c>
      <c r="I169" s="31">
        <v>0</v>
      </c>
      <c r="J169" s="31">
        <v>0</v>
      </c>
      <c r="K169" s="31">
        <f t="shared" si="24"/>
        <v>650</v>
      </c>
      <c r="L169" s="31">
        <v>0</v>
      </c>
      <c r="M169" s="31">
        <v>0</v>
      </c>
      <c r="N169" s="32">
        <f t="shared" si="28"/>
        <v>650</v>
      </c>
    </row>
    <row r="170" spans="1:14" ht="29.25" customHeight="1" x14ac:dyDescent="0.25">
      <c r="A170" s="146" t="s">
        <v>196</v>
      </c>
      <c r="B170" s="144" t="s">
        <v>84</v>
      </c>
      <c r="C170" s="31">
        <v>700</v>
      </c>
      <c r="D170" s="31">
        <v>0</v>
      </c>
      <c r="E170" s="31">
        <f>SUM(C170:D170)</f>
        <v>700</v>
      </c>
      <c r="F170" s="31">
        <v>0</v>
      </c>
      <c r="G170" s="31">
        <v>0</v>
      </c>
      <c r="H170" s="31">
        <f t="shared" si="27"/>
        <v>700</v>
      </c>
      <c r="I170" s="31">
        <v>0</v>
      </c>
      <c r="J170" s="31">
        <v>0</v>
      </c>
      <c r="K170" s="31">
        <f t="shared" si="24"/>
        <v>700</v>
      </c>
      <c r="L170" s="31">
        <v>0</v>
      </c>
      <c r="M170" s="31">
        <v>0</v>
      </c>
      <c r="N170" s="32">
        <f t="shared" si="28"/>
        <v>700</v>
      </c>
    </row>
    <row r="171" spans="1:14" ht="29.25" customHeight="1" x14ac:dyDescent="0.25">
      <c r="A171" s="146" t="s">
        <v>197</v>
      </c>
      <c r="B171" s="144" t="s">
        <v>63</v>
      </c>
      <c r="C171" s="31">
        <v>0</v>
      </c>
      <c r="D171" s="31"/>
      <c r="E171" s="31"/>
      <c r="F171" s="31"/>
      <c r="G171" s="31"/>
      <c r="H171" s="31">
        <v>0</v>
      </c>
      <c r="I171" s="31">
        <v>100</v>
      </c>
      <c r="J171" s="31">
        <v>0</v>
      </c>
      <c r="K171" s="31">
        <f t="shared" ref="K171:K236" si="29">SUM(H171:J171)</f>
        <v>100</v>
      </c>
      <c r="L171" s="31">
        <v>0</v>
      </c>
      <c r="M171" s="31">
        <v>0</v>
      </c>
      <c r="N171" s="32">
        <f t="shared" si="28"/>
        <v>100</v>
      </c>
    </row>
    <row r="172" spans="1:14" ht="27" customHeight="1" x14ac:dyDescent="0.25">
      <c r="A172" s="146" t="s">
        <v>198</v>
      </c>
      <c r="B172" s="144" t="s">
        <v>63</v>
      </c>
      <c r="C172" s="31">
        <v>0</v>
      </c>
      <c r="D172" s="31">
        <f>50</f>
        <v>50</v>
      </c>
      <c r="E172" s="31">
        <f>SUM(C172:D172)</f>
        <v>50</v>
      </c>
      <c r="F172" s="31">
        <v>0</v>
      </c>
      <c r="G172" s="31">
        <v>0</v>
      </c>
      <c r="H172" s="31">
        <f t="shared" si="27"/>
        <v>50</v>
      </c>
      <c r="I172" s="31">
        <v>0</v>
      </c>
      <c r="J172" s="31">
        <v>0</v>
      </c>
      <c r="K172" s="31">
        <f t="shared" si="29"/>
        <v>50</v>
      </c>
      <c r="L172" s="31">
        <v>0</v>
      </c>
      <c r="M172" s="31">
        <v>0</v>
      </c>
      <c r="N172" s="32">
        <f t="shared" si="28"/>
        <v>50</v>
      </c>
    </row>
    <row r="173" spans="1:14" ht="17.25" customHeight="1" thickBot="1" x14ac:dyDescent="0.3">
      <c r="A173" s="147" t="s">
        <v>199</v>
      </c>
      <c r="B173" s="119"/>
      <c r="C173" s="35">
        <v>16577.599999999999</v>
      </c>
      <c r="D173" s="35">
        <f>-1100-510</f>
        <v>-1610</v>
      </c>
      <c r="E173" s="35">
        <f>SUM(C173:D173)+94.17</f>
        <v>15061.769999999999</v>
      </c>
      <c r="F173" s="35">
        <v>-3853</v>
      </c>
      <c r="G173" s="35">
        <f>-494.17</f>
        <v>-494.17</v>
      </c>
      <c r="H173" s="35">
        <f t="shared" si="27"/>
        <v>10714.599999999999</v>
      </c>
      <c r="I173" s="35">
        <v>-749.19</v>
      </c>
      <c r="J173" s="35">
        <f>30</f>
        <v>30</v>
      </c>
      <c r="K173" s="35">
        <f>SUM(H173:J173)-60</f>
        <v>9935.409999999998</v>
      </c>
      <c r="L173" s="35">
        <f>-855.05+1000</f>
        <v>144.95000000000005</v>
      </c>
      <c r="M173" s="35">
        <v>0</v>
      </c>
      <c r="N173" s="36">
        <f t="shared" si="28"/>
        <v>10080.359999999999</v>
      </c>
    </row>
    <row r="174" spans="1:14" ht="15.75" customHeight="1" thickBot="1" x14ac:dyDescent="0.3">
      <c r="A174" s="142" t="s">
        <v>200</v>
      </c>
      <c r="B174" s="135"/>
      <c r="C174" s="96">
        <f>SUM(C176:C185)</f>
        <v>271015</v>
      </c>
      <c r="D174" s="97">
        <f>SUM(D176:D185)</f>
        <v>0</v>
      </c>
      <c r="E174" s="96">
        <f>SUM(C174:D174)</f>
        <v>271015</v>
      </c>
      <c r="F174" s="96">
        <f t="shared" ref="F174:L174" si="30">SUM(F176:F185)</f>
        <v>17057</v>
      </c>
      <c r="G174" s="96">
        <f t="shared" si="30"/>
        <v>50.72</v>
      </c>
      <c r="H174" s="123">
        <f t="shared" si="30"/>
        <v>288122.71999999997</v>
      </c>
      <c r="I174" s="96">
        <f t="shared" si="30"/>
        <v>10461</v>
      </c>
      <c r="J174" s="96">
        <f t="shared" si="30"/>
        <v>1325</v>
      </c>
      <c r="K174" s="96">
        <f t="shared" si="30"/>
        <v>300825.71999999997</v>
      </c>
      <c r="L174" s="96">
        <f t="shared" si="30"/>
        <v>300</v>
      </c>
      <c r="M174" s="96">
        <f>SUM(M176:M185)</f>
        <v>2579</v>
      </c>
      <c r="N174" s="124">
        <f t="shared" si="28"/>
        <v>303704.71999999997</v>
      </c>
    </row>
    <row r="175" spans="1:14" ht="15.75" customHeight="1" x14ac:dyDescent="0.25">
      <c r="A175" s="148" t="s">
        <v>37</v>
      </c>
      <c r="B175" s="149"/>
      <c r="C175" s="58"/>
      <c r="D175" s="103"/>
      <c r="E175" s="58"/>
      <c r="F175" s="58"/>
      <c r="G175" s="58"/>
      <c r="H175" s="150"/>
      <c r="I175" s="58"/>
      <c r="J175" s="58"/>
      <c r="K175" s="58"/>
      <c r="L175" s="58"/>
      <c r="M175" s="58"/>
      <c r="N175" s="48"/>
    </row>
    <row r="176" spans="1:14" ht="17.25" customHeight="1" x14ac:dyDescent="0.25">
      <c r="A176" s="140" t="s">
        <v>77</v>
      </c>
      <c r="B176" s="151"/>
      <c r="C176" s="31">
        <v>69797</v>
      </c>
      <c r="D176" s="114">
        <v>0</v>
      </c>
      <c r="E176" s="31">
        <f>SUM(C176:D176)</f>
        <v>69797</v>
      </c>
      <c r="F176" s="31">
        <v>8500</v>
      </c>
      <c r="G176" s="31">
        <f>0</f>
        <v>0</v>
      </c>
      <c r="H176" s="152">
        <f>SUM(E176:G176)</f>
        <v>78297</v>
      </c>
      <c r="I176" s="31">
        <v>0</v>
      </c>
      <c r="J176" s="31">
        <f>1325</f>
        <v>1325</v>
      </c>
      <c r="K176" s="31">
        <f>SUM(H176:J176)+917</f>
        <v>80539</v>
      </c>
      <c r="L176" s="31">
        <f>300</f>
        <v>300</v>
      </c>
      <c r="M176" s="31">
        <f>2579</f>
        <v>2579</v>
      </c>
      <c r="N176" s="61">
        <f t="shared" si="28"/>
        <v>83418</v>
      </c>
    </row>
    <row r="177" spans="1:14" ht="16.5" customHeight="1" x14ac:dyDescent="0.25">
      <c r="A177" s="140" t="s">
        <v>201</v>
      </c>
      <c r="B177" s="145" t="s">
        <v>84</v>
      </c>
      <c r="C177" s="31">
        <v>113169</v>
      </c>
      <c r="D177" s="114">
        <v>0</v>
      </c>
      <c r="E177" s="31">
        <f t="shared" ref="E177:E185" si="31">SUM(C177:D177)</f>
        <v>113169</v>
      </c>
      <c r="F177" s="31">
        <v>7200</v>
      </c>
      <c r="G177" s="31">
        <v>0</v>
      </c>
      <c r="H177" s="152">
        <f t="shared" ref="H177:H181" si="32">SUM(E177:G177)</f>
        <v>120369</v>
      </c>
      <c r="I177" s="31">
        <v>9961</v>
      </c>
      <c r="J177" s="31">
        <v>0</v>
      </c>
      <c r="K177" s="31">
        <f t="shared" si="29"/>
        <v>130330</v>
      </c>
      <c r="L177" s="31">
        <v>0</v>
      </c>
      <c r="M177" s="31">
        <v>0</v>
      </c>
      <c r="N177" s="61">
        <f t="shared" si="28"/>
        <v>130330</v>
      </c>
    </row>
    <row r="178" spans="1:14" ht="15.75" customHeight="1" x14ac:dyDescent="0.25">
      <c r="A178" s="140" t="s">
        <v>202</v>
      </c>
      <c r="B178" s="144" t="s">
        <v>84</v>
      </c>
      <c r="C178" s="31">
        <v>1136</v>
      </c>
      <c r="D178" s="31">
        <v>0</v>
      </c>
      <c r="E178" s="31">
        <f t="shared" si="31"/>
        <v>1136</v>
      </c>
      <c r="F178" s="31">
        <v>0</v>
      </c>
      <c r="G178" s="31">
        <v>0</v>
      </c>
      <c r="H178" s="31">
        <f t="shared" si="32"/>
        <v>1136</v>
      </c>
      <c r="I178" s="31">
        <v>0</v>
      </c>
      <c r="J178" s="31">
        <v>0</v>
      </c>
      <c r="K178" s="31">
        <f t="shared" si="29"/>
        <v>1136</v>
      </c>
      <c r="L178" s="31">
        <v>0</v>
      </c>
      <c r="M178" s="31">
        <v>0</v>
      </c>
      <c r="N178" s="32">
        <f t="shared" si="28"/>
        <v>1136</v>
      </c>
    </row>
    <row r="179" spans="1:14" x14ac:dyDescent="0.25">
      <c r="A179" s="140" t="s">
        <v>203</v>
      </c>
      <c r="B179" s="144" t="s">
        <v>84</v>
      </c>
      <c r="C179" s="31">
        <v>21850</v>
      </c>
      <c r="D179" s="31">
        <v>0</v>
      </c>
      <c r="E179" s="31">
        <f t="shared" si="31"/>
        <v>21850</v>
      </c>
      <c r="F179" s="31">
        <v>0</v>
      </c>
      <c r="G179" s="31">
        <f>50.72</f>
        <v>50.72</v>
      </c>
      <c r="H179" s="31">
        <f t="shared" si="32"/>
        <v>21900.720000000001</v>
      </c>
      <c r="I179" s="31">
        <v>0</v>
      </c>
      <c r="J179" s="31">
        <v>0</v>
      </c>
      <c r="K179" s="31">
        <f t="shared" si="29"/>
        <v>21900.720000000001</v>
      </c>
      <c r="L179" s="31">
        <v>0</v>
      </c>
      <c r="M179" s="31">
        <v>0</v>
      </c>
      <c r="N179" s="32">
        <f t="shared" si="28"/>
        <v>21900.720000000001</v>
      </c>
    </row>
    <row r="180" spans="1:14" ht="16.5" customHeight="1" x14ac:dyDescent="0.25">
      <c r="A180" s="140" t="s">
        <v>204</v>
      </c>
      <c r="B180" s="144" t="s">
        <v>84</v>
      </c>
      <c r="C180" s="31">
        <v>195</v>
      </c>
      <c r="D180" s="31">
        <v>0</v>
      </c>
      <c r="E180" s="31">
        <f t="shared" si="31"/>
        <v>195</v>
      </c>
      <c r="F180" s="31">
        <v>0</v>
      </c>
      <c r="G180" s="31">
        <v>0</v>
      </c>
      <c r="H180" s="31">
        <f t="shared" si="32"/>
        <v>195</v>
      </c>
      <c r="I180" s="31">
        <v>0</v>
      </c>
      <c r="J180" s="31">
        <v>0</v>
      </c>
      <c r="K180" s="31">
        <f t="shared" si="29"/>
        <v>195</v>
      </c>
      <c r="L180" s="31">
        <v>0</v>
      </c>
      <c r="M180" s="31">
        <v>0</v>
      </c>
      <c r="N180" s="32">
        <f t="shared" si="28"/>
        <v>195</v>
      </c>
    </row>
    <row r="181" spans="1:14" x14ac:dyDescent="0.25">
      <c r="A181" s="140" t="s">
        <v>205</v>
      </c>
      <c r="B181" s="144" t="s">
        <v>84</v>
      </c>
      <c r="C181" s="31">
        <v>171</v>
      </c>
      <c r="D181" s="31">
        <v>0</v>
      </c>
      <c r="E181" s="31">
        <f t="shared" si="31"/>
        <v>171</v>
      </c>
      <c r="F181" s="31">
        <v>0</v>
      </c>
      <c r="G181" s="31">
        <v>0</v>
      </c>
      <c r="H181" s="31">
        <f t="shared" si="32"/>
        <v>171</v>
      </c>
      <c r="I181" s="31">
        <v>0</v>
      </c>
      <c r="J181" s="31">
        <v>0</v>
      </c>
      <c r="K181" s="31">
        <f t="shared" si="29"/>
        <v>171</v>
      </c>
      <c r="L181" s="31">
        <v>0</v>
      </c>
      <c r="M181" s="31">
        <v>0</v>
      </c>
      <c r="N181" s="32">
        <f t="shared" si="28"/>
        <v>171</v>
      </c>
    </row>
    <row r="182" spans="1:14" x14ac:dyDescent="0.25">
      <c r="A182" s="140" t="s">
        <v>206</v>
      </c>
      <c r="B182" s="144" t="s">
        <v>84</v>
      </c>
      <c r="C182" s="31">
        <v>833</v>
      </c>
      <c r="D182" s="31">
        <v>0</v>
      </c>
      <c r="E182" s="31">
        <f t="shared" si="31"/>
        <v>833</v>
      </c>
      <c r="F182" s="31">
        <v>0</v>
      </c>
      <c r="G182" s="31">
        <v>0</v>
      </c>
      <c r="H182" s="31">
        <f>SUM(E182:G182)</f>
        <v>833</v>
      </c>
      <c r="I182" s="31">
        <v>0</v>
      </c>
      <c r="J182" s="31">
        <v>0</v>
      </c>
      <c r="K182" s="31">
        <f t="shared" si="29"/>
        <v>833</v>
      </c>
      <c r="L182" s="31">
        <v>0</v>
      </c>
      <c r="M182" s="31">
        <v>0</v>
      </c>
      <c r="N182" s="32">
        <f t="shared" si="28"/>
        <v>833</v>
      </c>
    </row>
    <row r="183" spans="1:14" x14ac:dyDescent="0.25">
      <c r="A183" s="140" t="s">
        <v>207</v>
      </c>
      <c r="B183" s="144" t="s">
        <v>84</v>
      </c>
      <c r="C183" s="31">
        <v>213</v>
      </c>
      <c r="D183" s="31">
        <v>0</v>
      </c>
      <c r="E183" s="31">
        <f t="shared" si="31"/>
        <v>213</v>
      </c>
      <c r="F183" s="31">
        <v>0</v>
      </c>
      <c r="G183" s="31">
        <v>0</v>
      </c>
      <c r="H183" s="31">
        <f t="shared" ref="H183:H185" si="33">SUM(E183:G183)</f>
        <v>213</v>
      </c>
      <c r="I183" s="31">
        <v>0</v>
      </c>
      <c r="J183" s="31">
        <v>0</v>
      </c>
      <c r="K183" s="31">
        <f t="shared" si="29"/>
        <v>213</v>
      </c>
      <c r="L183" s="31">
        <v>0</v>
      </c>
      <c r="M183" s="31">
        <v>0</v>
      </c>
      <c r="N183" s="32">
        <f t="shared" si="28"/>
        <v>213</v>
      </c>
    </row>
    <row r="184" spans="1:14" ht="29.25" customHeight="1" x14ac:dyDescent="0.25">
      <c r="A184" s="29" t="s">
        <v>208</v>
      </c>
      <c r="B184" s="144" t="s">
        <v>84</v>
      </c>
      <c r="C184" s="31">
        <v>82</v>
      </c>
      <c r="D184" s="31">
        <v>0</v>
      </c>
      <c r="E184" s="31">
        <f t="shared" si="31"/>
        <v>82</v>
      </c>
      <c r="F184" s="31">
        <v>0</v>
      </c>
      <c r="G184" s="31">
        <v>0</v>
      </c>
      <c r="H184" s="31">
        <f t="shared" si="33"/>
        <v>82</v>
      </c>
      <c r="I184" s="31">
        <v>35</v>
      </c>
      <c r="J184" s="31">
        <v>0</v>
      </c>
      <c r="K184" s="31">
        <f t="shared" si="29"/>
        <v>117</v>
      </c>
      <c r="L184" s="31">
        <v>0</v>
      </c>
      <c r="M184" s="31">
        <v>0</v>
      </c>
      <c r="N184" s="32">
        <f t="shared" si="28"/>
        <v>117</v>
      </c>
    </row>
    <row r="185" spans="1:14" ht="25.5" customHeight="1" thickBot="1" x14ac:dyDescent="0.3">
      <c r="A185" s="33" t="s">
        <v>209</v>
      </c>
      <c r="B185" s="153"/>
      <c r="C185" s="35">
        <v>63569</v>
      </c>
      <c r="D185" s="154">
        <v>0</v>
      </c>
      <c r="E185" s="35">
        <f t="shared" si="31"/>
        <v>63569</v>
      </c>
      <c r="F185" s="35">
        <v>1357</v>
      </c>
      <c r="G185" s="35">
        <v>0</v>
      </c>
      <c r="H185" s="155">
        <f t="shared" si="33"/>
        <v>64926</v>
      </c>
      <c r="I185" s="35">
        <v>465</v>
      </c>
      <c r="J185" s="35">
        <v>0</v>
      </c>
      <c r="K185" s="35">
        <f t="shared" si="29"/>
        <v>65391</v>
      </c>
      <c r="L185" s="35">
        <v>0</v>
      </c>
      <c r="M185" s="35">
        <v>0</v>
      </c>
      <c r="N185" s="156">
        <f t="shared" si="28"/>
        <v>65391</v>
      </c>
    </row>
    <row r="186" spans="1:14" ht="15.75" thickBot="1" x14ac:dyDescent="0.3">
      <c r="A186" s="142" t="s">
        <v>210</v>
      </c>
      <c r="B186" s="135"/>
      <c r="C186" s="96">
        <f>SUM(C188:C195)</f>
        <v>116589.95</v>
      </c>
      <c r="D186" s="97">
        <f>SUM(D188:D195)</f>
        <v>0</v>
      </c>
      <c r="E186" s="96">
        <f>SUM(C186:D186)</f>
        <v>116589.95</v>
      </c>
      <c r="F186" s="96">
        <f t="shared" ref="F186:L186" si="34">SUM(F188:F195)</f>
        <v>3441.1</v>
      </c>
      <c r="G186" s="96">
        <f t="shared" si="34"/>
        <v>110</v>
      </c>
      <c r="H186" s="123">
        <f t="shared" si="34"/>
        <v>120142.55</v>
      </c>
      <c r="I186" s="96">
        <f t="shared" si="34"/>
        <v>200</v>
      </c>
      <c r="J186" s="96">
        <f t="shared" si="34"/>
        <v>0</v>
      </c>
      <c r="K186" s="96">
        <f t="shared" si="34"/>
        <v>120342.55</v>
      </c>
      <c r="L186" s="96">
        <f t="shared" si="34"/>
        <v>430</v>
      </c>
      <c r="M186" s="96">
        <f>SUM(M188:M195)</f>
        <v>0</v>
      </c>
      <c r="N186" s="124">
        <f t="shared" si="28"/>
        <v>120772.55</v>
      </c>
    </row>
    <row r="187" spans="1:14" x14ac:dyDescent="0.25">
      <c r="A187" s="143" t="s">
        <v>37</v>
      </c>
      <c r="B187" s="126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8"/>
    </row>
    <row r="188" spans="1:14" ht="27" customHeight="1" x14ac:dyDescent="0.25">
      <c r="A188" s="115" t="s">
        <v>211</v>
      </c>
      <c r="B188" s="116"/>
      <c r="C188" s="31">
        <v>0</v>
      </c>
      <c r="D188" s="31">
        <v>0</v>
      </c>
      <c r="E188" s="31">
        <f>SUM(C188:D188)</f>
        <v>0</v>
      </c>
      <c r="F188" s="31">
        <v>86.1</v>
      </c>
      <c r="G188" s="31">
        <v>0</v>
      </c>
      <c r="H188" s="31">
        <f>SUM(E188:G188)</f>
        <v>86.1</v>
      </c>
      <c r="I188" s="31">
        <v>0</v>
      </c>
      <c r="J188" s="31">
        <v>0</v>
      </c>
      <c r="K188" s="31">
        <f t="shared" si="29"/>
        <v>86.1</v>
      </c>
      <c r="L188" s="31">
        <v>0</v>
      </c>
      <c r="M188" s="31">
        <v>0</v>
      </c>
      <c r="N188" s="32">
        <f t="shared" si="28"/>
        <v>86.1</v>
      </c>
    </row>
    <row r="189" spans="1:14" ht="17.25" customHeight="1" x14ac:dyDescent="0.25">
      <c r="A189" s="140" t="s">
        <v>77</v>
      </c>
      <c r="B189" s="116"/>
      <c r="C189" s="31">
        <v>3187</v>
      </c>
      <c r="D189" s="31">
        <v>0</v>
      </c>
      <c r="E189" s="31">
        <f t="shared" ref="E189:E195" si="35">SUM(C189:D189)</f>
        <v>3187</v>
      </c>
      <c r="F189" s="31">
        <v>699</v>
      </c>
      <c r="G189" s="31">
        <v>0</v>
      </c>
      <c r="H189" s="31">
        <f>SUM(E189:G189)+1.5</f>
        <v>3887.5</v>
      </c>
      <c r="I189" s="31">
        <v>0</v>
      </c>
      <c r="J189" s="31">
        <v>0</v>
      </c>
      <c r="K189" s="31">
        <f t="shared" si="29"/>
        <v>3887.5</v>
      </c>
      <c r="L189" s="31">
        <f>110</f>
        <v>110</v>
      </c>
      <c r="M189" s="31">
        <v>0</v>
      </c>
      <c r="N189" s="32">
        <f t="shared" si="28"/>
        <v>3997.5</v>
      </c>
    </row>
    <row r="190" spans="1:14" ht="25.5" customHeight="1" x14ac:dyDescent="0.25">
      <c r="A190" s="29" t="s">
        <v>212</v>
      </c>
      <c r="B190" s="144" t="s">
        <v>213</v>
      </c>
      <c r="C190" s="31">
        <v>165.22</v>
      </c>
      <c r="D190" s="31">
        <v>0</v>
      </c>
      <c r="E190" s="31">
        <f t="shared" si="35"/>
        <v>165.22</v>
      </c>
      <c r="F190" s="31">
        <v>0</v>
      </c>
      <c r="G190" s="31">
        <v>0</v>
      </c>
      <c r="H190" s="31">
        <f t="shared" ref="H190:H195" si="36">SUM(E190:G190)</f>
        <v>165.22</v>
      </c>
      <c r="I190" s="31">
        <v>0</v>
      </c>
      <c r="J190" s="31">
        <v>0</v>
      </c>
      <c r="K190" s="31">
        <f t="shared" si="29"/>
        <v>165.22</v>
      </c>
      <c r="L190" s="31">
        <v>0</v>
      </c>
      <c r="M190" s="31">
        <v>0</v>
      </c>
      <c r="N190" s="32">
        <f t="shared" si="28"/>
        <v>165.22</v>
      </c>
    </row>
    <row r="191" spans="1:14" ht="27.75" customHeight="1" x14ac:dyDescent="0.25">
      <c r="A191" s="29" t="s">
        <v>214</v>
      </c>
      <c r="B191" s="144" t="s">
        <v>215</v>
      </c>
      <c r="C191" s="31">
        <v>286.73</v>
      </c>
      <c r="D191" s="31">
        <v>0</v>
      </c>
      <c r="E191" s="31">
        <f t="shared" si="35"/>
        <v>286.73</v>
      </c>
      <c r="F191" s="31">
        <v>0</v>
      </c>
      <c r="G191" s="31">
        <v>0</v>
      </c>
      <c r="H191" s="31">
        <f t="shared" si="36"/>
        <v>286.73</v>
      </c>
      <c r="I191" s="31">
        <v>0</v>
      </c>
      <c r="J191" s="31">
        <v>0</v>
      </c>
      <c r="K191" s="31">
        <f t="shared" si="29"/>
        <v>286.73</v>
      </c>
      <c r="L191" s="31">
        <v>0</v>
      </c>
      <c r="M191" s="31">
        <v>0</v>
      </c>
      <c r="N191" s="32">
        <f t="shared" si="28"/>
        <v>286.73</v>
      </c>
    </row>
    <row r="192" spans="1:14" ht="18" customHeight="1" x14ac:dyDescent="0.25">
      <c r="A192" s="140" t="s">
        <v>216</v>
      </c>
      <c r="B192" s="157"/>
      <c r="C192" s="31">
        <v>6</v>
      </c>
      <c r="D192" s="31">
        <v>0</v>
      </c>
      <c r="E192" s="31">
        <f t="shared" si="35"/>
        <v>6</v>
      </c>
      <c r="F192" s="31">
        <v>0</v>
      </c>
      <c r="G192" s="31">
        <v>0</v>
      </c>
      <c r="H192" s="31">
        <f t="shared" si="36"/>
        <v>6</v>
      </c>
      <c r="I192" s="31">
        <v>0</v>
      </c>
      <c r="J192" s="31">
        <v>0</v>
      </c>
      <c r="K192" s="31">
        <f t="shared" si="29"/>
        <v>6</v>
      </c>
      <c r="L192" s="31">
        <v>0</v>
      </c>
      <c r="M192" s="31">
        <v>0</v>
      </c>
      <c r="N192" s="32">
        <f t="shared" si="28"/>
        <v>6</v>
      </c>
    </row>
    <row r="193" spans="1:14" ht="16.5" customHeight="1" x14ac:dyDescent="0.25">
      <c r="A193" s="140" t="s">
        <v>217</v>
      </c>
      <c r="B193" s="144" t="s">
        <v>218</v>
      </c>
      <c r="C193" s="31">
        <v>180</v>
      </c>
      <c r="D193" s="31">
        <v>0</v>
      </c>
      <c r="E193" s="31">
        <f t="shared" si="35"/>
        <v>180</v>
      </c>
      <c r="F193" s="31">
        <v>0</v>
      </c>
      <c r="G193" s="31">
        <v>0</v>
      </c>
      <c r="H193" s="31">
        <f t="shared" si="36"/>
        <v>180</v>
      </c>
      <c r="I193" s="31">
        <v>0</v>
      </c>
      <c r="J193" s="31">
        <v>0</v>
      </c>
      <c r="K193" s="31">
        <f t="shared" si="29"/>
        <v>180</v>
      </c>
      <c r="L193" s="31">
        <v>0</v>
      </c>
      <c r="M193" s="31">
        <v>0</v>
      </c>
      <c r="N193" s="32">
        <f t="shared" si="28"/>
        <v>180</v>
      </c>
    </row>
    <row r="194" spans="1:14" ht="15.75" customHeight="1" x14ac:dyDescent="0.25">
      <c r="A194" s="140" t="s">
        <v>219</v>
      </c>
      <c r="B194" s="144" t="s">
        <v>218</v>
      </c>
      <c r="C194" s="31">
        <v>810</v>
      </c>
      <c r="D194" s="31">
        <v>0</v>
      </c>
      <c r="E194" s="31">
        <f t="shared" si="35"/>
        <v>810</v>
      </c>
      <c r="F194" s="31">
        <v>0</v>
      </c>
      <c r="G194" s="31">
        <v>0</v>
      </c>
      <c r="H194" s="31">
        <f t="shared" si="36"/>
        <v>810</v>
      </c>
      <c r="I194" s="31">
        <v>0</v>
      </c>
      <c r="J194" s="31">
        <v>0</v>
      </c>
      <c r="K194" s="31">
        <f t="shared" si="29"/>
        <v>810</v>
      </c>
      <c r="L194" s="31">
        <v>0</v>
      </c>
      <c r="M194" s="31">
        <v>0</v>
      </c>
      <c r="N194" s="32">
        <f t="shared" si="28"/>
        <v>810</v>
      </c>
    </row>
    <row r="195" spans="1:14" ht="26.25" customHeight="1" thickBot="1" x14ac:dyDescent="0.3">
      <c r="A195" s="33" t="s">
        <v>220</v>
      </c>
      <c r="B195" s="119"/>
      <c r="C195" s="35">
        <v>111955</v>
      </c>
      <c r="D195" s="35">
        <v>0</v>
      </c>
      <c r="E195" s="35">
        <f t="shared" si="35"/>
        <v>111955</v>
      </c>
      <c r="F195" s="35">
        <v>2656</v>
      </c>
      <c r="G195" s="35">
        <f>110</f>
        <v>110</v>
      </c>
      <c r="H195" s="35">
        <f t="shared" si="36"/>
        <v>114721</v>
      </c>
      <c r="I195" s="35">
        <v>200</v>
      </c>
      <c r="J195" s="35">
        <v>0</v>
      </c>
      <c r="K195" s="35">
        <f t="shared" si="29"/>
        <v>114921</v>
      </c>
      <c r="L195" s="35">
        <f>320</f>
        <v>320</v>
      </c>
      <c r="M195" s="35">
        <v>0</v>
      </c>
      <c r="N195" s="36">
        <f t="shared" si="28"/>
        <v>115241</v>
      </c>
    </row>
    <row r="196" spans="1:14" ht="16.5" customHeight="1" thickBot="1" x14ac:dyDescent="0.3">
      <c r="A196" s="142" t="s">
        <v>221</v>
      </c>
      <c r="B196" s="135"/>
      <c r="C196" s="96">
        <f>SUM(C198:C199)</f>
        <v>9436</v>
      </c>
      <c r="D196" s="97">
        <f>SUM(D198:D199)</f>
        <v>1520</v>
      </c>
      <c r="E196" s="96">
        <f>SUM(C196:D196)</f>
        <v>10956</v>
      </c>
      <c r="F196" s="96">
        <f t="shared" ref="F196:L196" si="37">SUM(F198:F199)</f>
        <v>991.7</v>
      </c>
      <c r="G196" s="96">
        <f t="shared" si="37"/>
        <v>-45</v>
      </c>
      <c r="H196" s="123">
        <f t="shared" si="37"/>
        <v>11947.7</v>
      </c>
      <c r="I196" s="96">
        <f t="shared" si="37"/>
        <v>-8100</v>
      </c>
      <c r="J196" s="96">
        <f t="shared" si="37"/>
        <v>0</v>
      </c>
      <c r="K196" s="96">
        <f t="shared" si="37"/>
        <v>3847.7000000000007</v>
      </c>
      <c r="L196" s="96">
        <f t="shared" si="37"/>
        <v>-3445.36</v>
      </c>
      <c r="M196" s="96">
        <f>SUM(M198:M199)</f>
        <v>0</v>
      </c>
      <c r="N196" s="124">
        <f t="shared" si="28"/>
        <v>402.3400000000006</v>
      </c>
    </row>
    <row r="197" spans="1:14" ht="17.25" customHeight="1" x14ac:dyDescent="0.25">
      <c r="A197" s="143" t="s">
        <v>37</v>
      </c>
      <c r="B197" s="12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8">
        <f t="shared" si="28"/>
        <v>0</v>
      </c>
    </row>
    <row r="198" spans="1:14" ht="15.75" customHeight="1" x14ac:dyDescent="0.25">
      <c r="A198" s="140" t="s">
        <v>222</v>
      </c>
      <c r="B198" s="116"/>
      <c r="C198" s="31">
        <v>9186</v>
      </c>
      <c r="D198" s="31">
        <f>8+1512</f>
        <v>1520</v>
      </c>
      <c r="E198" s="31">
        <f>SUM(C198:D198)</f>
        <v>10706</v>
      </c>
      <c r="F198" s="31">
        <v>991.7</v>
      </c>
      <c r="G198" s="31">
        <f>-45</f>
        <v>-45</v>
      </c>
      <c r="H198" s="31">
        <f>SUM(E198:G198)+45</f>
        <v>11697.7</v>
      </c>
      <c r="I198" s="31">
        <v>-7850</v>
      </c>
      <c r="J198" s="31">
        <v>0</v>
      </c>
      <c r="K198" s="31">
        <f t="shared" si="29"/>
        <v>3847.7000000000007</v>
      </c>
      <c r="L198" s="31">
        <f>-3445.36</f>
        <v>-3445.36</v>
      </c>
      <c r="M198" s="31">
        <v>0</v>
      </c>
      <c r="N198" s="32">
        <f t="shared" si="28"/>
        <v>402.3400000000006</v>
      </c>
    </row>
    <row r="199" spans="1:14" ht="17.25" customHeight="1" thickBot="1" x14ac:dyDescent="0.3">
      <c r="A199" s="147" t="s">
        <v>223</v>
      </c>
      <c r="B199" s="119"/>
      <c r="C199" s="35">
        <v>250</v>
      </c>
      <c r="D199" s="35">
        <v>0</v>
      </c>
      <c r="E199" s="35">
        <f>SUM(C199:D199)</f>
        <v>250</v>
      </c>
      <c r="F199" s="35">
        <v>0</v>
      </c>
      <c r="G199" s="35">
        <v>0</v>
      </c>
      <c r="H199" s="35">
        <f>SUM(E199:G199)</f>
        <v>250</v>
      </c>
      <c r="I199" s="35">
        <v>-250</v>
      </c>
      <c r="J199" s="35">
        <v>0</v>
      </c>
      <c r="K199" s="35">
        <f t="shared" si="29"/>
        <v>0</v>
      </c>
      <c r="L199" s="35">
        <v>0</v>
      </c>
      <c r="M199" s="35">
        <v>0</v>
      </c>
      <c r="N199" s="36">
        <f t="shared" si="28"/>
        <v>0</v>
      </c>
    </row>
    <row r="200" spans="1:14" ht="15.75" thickBot="1" x14ac:dyDescent="0.3">
      <c r="A200" s="142" t="s">
        <v>224</v>
      </c>
      <c r="B200" s="135"/>
      <c r="C200" s="96">
        <f>SUM(C202:C247)</f>
        <v>93551.54</v>
      </c>
      <c r="D200" s="97">
        <f>SUM(D202:D247)</f>
        <v>16.22</v>
      </c>
      <c r="E200" s="96">
        <f>SUM(C200:D200)</f>
        <v>93567.76</v>
      </c>
      <c r="F200" s="96">
        <f t="shared" ref="F200:L200" si="38">SUM(F202:F247)</f>
        <v>5288.77</v>
      </c>
      <c r="G200" s="96">
        <f t="shared" si="38"/>
        <v>46154.78</v>
      </c>
      <c r="H200" s="123">
        <f t="shared" si="38"/>
        <v>145361.31</v>
      </c>
      <c r="I200" s="96">
        <f t="shared" si="38"/>
        <v>8300</v>
      </c>
      <c r="J200" s="96">
        <f t="shared" si="38"/>
        <v>17</v>
      </c>
      <c r="K200" s="96">
        <f t="shared" si="38"/>
        <v>153678.31</v>
      </c>
      <c r="L200" s="96">
        <f t="shared" si="38"/>
        <v>4915.3600000000006</v>
      </c>
      <c r="M200" s="96">
        <f>SUM(M202:M247)</f>
        <v>9336</v>
      </c>
      <c r="N200" s="124">
        <f t="shared" si="28"/>
        <v>167929.66999999998</v>
      </c>
    </row>
    <row r="201" spans="1:14" ht="15" customHeight="1" x14ac:dyDescent="0.25">
      <c r="A201" s="143" t="s">
        <v>37</v>
      </c>
      <c r="B201" s="12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8">
        <f t="shared" si="28"/>
        <v>0</v>
      </c>
    </row>
    <row r="202" spans="1:14" ht="16.5" customHeight="1" x14ac:dyDescent="0.25">
      <c r="A202" s="29" t="s">
        <v>225</v>
      </c>
      <c r="B202" s="116"/>
      <c r="C202" s="31">
        <v>0</v>
      </c>
      <c r="D202" s="31">
        <v>0</v>
      </c>
      <c r="E202" s="31">
        <f>SUM(C202:D202)</f>
        <v>0</v>
      </c>
      <c r="F202" s="31">
        <v>0</v>
      </c>
      <c r="G202" s="31">
        <f>5</f>
        <v>5</v>
      </c>
      <c r="H202" s="31">
        <f>SUM(E202:G202)+50</f>
        <v>55</v>
      </c>
      <c r="I202" s="31">
        <v>7850</v>
      </c>
      <c r="J202" s="31">
        <f>17</f>
        <v>17</v>
      </c>
      <c r="K202" s="31">
        <f t="shared" si="29"/>
        <v>7922</v>
      </c>
      <c r="L202" s="31">
        <f>345.36</f>
        <v>345.36</v>
      </c>
      <c r="M202" s="31">
        <v>0</v>
      </c>
      <c r="N202" s="32">
        <f t="shared" si="28"/>
        <v>8267.36</v>
      </c>
    </row>
    <row r="203" spans="1:14" ht="33" customHeight="1" x14ac:dyDescent="0.25">
      <c r="A203" s="29" t="s">
        <v>226</v>
      </c>
      <c r="B203" s="144" t="s">
        <v>227</v>
      </c>
      <c r="C203" s="31">
        <v>13000</v>
      </c>
      <c r="D203" s="31">
        <v>0</v>
      </c>
      <c r="E203" s="31">
        <f t="shared" ref="E203:E247" si="39">SUM(C203:D203)</f>
        <v>13000</v>
      </c>
      <c r="F203" s="31">
        <v>-17.5</v>
      </c>
      <c r="G203" s="31">
        <v>0</v>
      </c>
      <c r="H203" s="31">
        <f t="shared" ref="H203:H247" si="40">SUM(E203:G203)</f>
        <v>12982.5</v>
      </c>
      <c r="I203" s="31">
        <v>0</v>
      </c>
      <c r="J203" s="31">
        <v>0</v>
      </c>
      <c r="K203" s="31">
        <f t="shared" si="29"/>
        <v>12982.5</v>
      </c>
      <c r="L203" s="31">
        <f>-550</f>
        <v>-550</v>
      </c>
      <c r="M203" s="31">
        <v>0</v>
      </c>
      <c r="N203" s="32">
        <f t="shared" si="28"/>
        <v>12432.5</v>
      </c>
    </row>
    <row r="204" spans="1:14" ht="29.25" customHeight="1" x14ac:dyDescent="0.25">
      <c r="A204" s="29" t="s">
        <v>228</v>
      </c>
      <c r="B204" s="144" t="s">
        <v>229</v>
      </c>
      <c r="C204" s="31">
        <v>400</v>
      </c>
      <c r="D204" s="31">
        <v>0</v>
      </c>
      <c r="E204" s="31">
        <f t="shared" si="39"/>
        <v>400</v>
      </c>
      <c r="F204" s="31">
        <v>0</v>
      </c>
      <c r="G204" s="31">
        <v>0</v>
      </c>
      <c r="H204" s="31">
        <f t="shared" si="40"/>
        <v>400</v>
      </c>
      <c r="I204" s="31">
        <v>0</v>
      </c>
      <c r="J204" s="31">
        <v>0</v>
      </c>
      <c r="K204" s="31">
        <f t="shared" si="29"/>
        <v>400</v>
      </c>
      <c r="L204" s="31">
        <v>0</v>
      </c>
      <c r="M204" s="31">
        <v>0</v>
      </c>
      <c r="N204" s="32">
        <f t="shared" si="28"/>
        <v>400</v>
      </c>
    </row>
    <row r="205" spans="1:14" ht="31.5" customHeight="1" x14ac:dyDescent="0.25">
      <c r="A205" s="29" t="s">
        <v>230</v>
      </c>
      <c r="B205" s="144" t="s">
        <v>231</v>
      </c>
      <c r="C205" s="31">
        <v>800</v>
      </c>
      <c r="D205" s="31">
        <v>0</v>
      </c>
      <c r="E205" s="31">
        <f t="shared" si="39"/>
        <v>800</v>
      </c>
      <c r="F205" s="31">
        <v>-72.5</v>
      </c>
      <c r="G205" s="31">
        <v>0</v>
      </c>
      <c r="H205" s="31">
        <f t="shared" si="40"/>
        <v>727.5</v>
      </c>
      <c r="I205" s="31">
        <v>0</v>
      </c>
      <c r="J205" s="31">
        <v>0</v>
      </c>
      <c r="K205" s="31">
        <f t="shared" si="29"/>
        <v>727.5</v>
      </c>
      <c r="L205" s="31">
        <v>0</v>
      </c>
      <c r="M205" s="31">
        <v>0</v>
      </c>
      <c r="N205" s="61">
        <f t="shared" si="28"/>
        <v>727.5</v>
      </c>
    </row>
    <row r="206" spans="1:14" ht="53.25" customHeight="1" x14ac:dyDescent="0.25">
      <c r="A206" s="29" t="s">
        <v>232</v>
      </c>
      <c r="B206" s="144" t="s">
        <v>84</v>
      </c>
      <c r="C206" s="31">
        <v>10950</v>
      </c>
      <c r="D206" s="31">
        <v>0</v>
      </c>
      <c r="E206" s="31">
        <f t="shared" si="39"/>
        <v>10950</v>
      </c>
      <c r="F206" s="31">
        <v>950</v>
      </c>
      <c r="G206" s="31">
        <v>0</v>
      </c>
      <c r="H206" s="31">
        <f t="shared" si="40"/>
        <v>11900</v>
      </c>
      <c r="I206" s="31">
        <v>0</v>
      </c>
      <c r="J206" s="31">
        <v>0</v>
      </c>
      <c r="K206" s="31">
        <f t="shared" si="29"/>
        <v>11900</v>
      </c>
      <c r="L206" s="31">
        <v>0</v>
      </c>
      <c r="M206" s="31">
        <v>0</v>
      </c>
      <c r="N206" s="61">
        <f t="shared" si="28"/>
        <v>11900</v>
      </c>
    </row>
    <row r="207" spans="1:14" ht="16.5" customHeight="1" x14ac:dyDescent="0.25">
      <c r="A207" s="29" t="s">
        <v>233</v>
      </c>
      <c r="B207" s="145" t="s">
        <v>84</v>
      </c>
      <c r="C207" s="31">
        <v>0</v>
      </c>
      <c r="D207" s="114"/>
      <c r="E207" s="31">
        <v>0</v>
      </c>
      <c r="F207" s="31">
        <v>0</v>
      </c>
      <c r="G207" s="31">
        <f>4714</f>
        <v>4714</v>
      </c>
      <c r="H207" s="152">
        <f>SUM(E207:G207)</f>
        <v>4714</v>
      </c>
      <c r="I207" s="31">
        <v>0</v>
      </c>
      <c r="J207" s="31">
        <v>0</v>
      </c>
      <c r="K207" s="31">
        <f t="shared" si="29"/>
        <v>4714</v>
      </c>
      <c r="L207" s="31">
        <v>0</v>
      </c>
      <c r="M207" s="31">
        <f>309</f>
        <v>309</v>
      </c>
      <c r="N207" s="61">
        <f t="shared" si="28"/>
        <v>5023</v>
      </c>
    </row>
    <row r="208" spans="1:14" ht="16.5" customHeight="1" x14ac:dyDescent="0.25">
      <c r="A208" s="29" t="s">
        <v>234</v>
      </c>
      <c r="B208" s="145" t="s">
        <v>84</v>
      </c>
      <c r="C208" s="31">
        <v>0</v>
      </c>
      <c r="D208" s="114"/>
      <c r="E208" s="31"/>
      <c r="F208" s="31"/>
      <c r="G208" s="31"/>
      <c r="H208" s="152">
        <f>300</f>
        <v>300</v>
      </c>
      <c r="I208" s="31">
        <v>0</v>
      </c>
      <c r="J208" s="31">
        <v>0</v>
      </c>
      <c r="K208" s="31">
        <f t="shared" si="29"/>
        <v>300</v>
      </c>
      <c r="L208" s="31">
        <v>0</v>
      </c>
      <c r="M208" s="31">
        <v>0</v>
      </c>
      <c r="N208" s="61">
        <f t="shared" si="28"/>
        <v>300</v>
      </c>
    </row>
    <row r="209" spans="1:14" ht="15.75" customHeight="1" x14ac:dyDescent="0.25">
      <c r="A209" s="143" t="s">
        <v>235</v>
      </c>
      <c r="B209" s="158" t="s">
        <v>84</v>
      </c>
      <c r="C209" s="27">
        <v>9000</v>
      </c>
      <c r="D209" s="109">
        <v>0</v>
      </c>
      <c r="E209" s="27">
        <f t="shared" si="39"/>
        <v>9000</v>
      </c>
      <c r="F209" s="27">
        <v>0</v>
      </c>
      <c r="G209" s="27">
        <v>0</v>
      </c>
      <c r="H209" s="159">
        <f t="shared" si="40"/>
        <v>9000</v>
      </c>
      <c r="I209" s="27">
        <v>0</v>
      </c>
      <c r="J209" s="27">
        <v>0</v>
      </c>
      <c r="K209" s="27">
        <f t="shared" si="29"/>
        <v>9000</v>
      </c>
      <c r="L209" s="27">
        <f>-1500</f>
        <v>-1500</v>
      </c>
      <c r="M209" s="27">
        <v>0</v>
      </c>
      <c r="N209" s="66">
        <f t="shared" si="28"/>
        <v>7500</v>
      </c>
    </row>
    <row r="210" spans="1:14" ht="54" customHeight="1" x14ac:dyDescent="0.25">
      <c r="A210" s="29" t="s">
        <v>236</v>
      </c>
      <c r="B210" s="145" t="s">
        <v>84</v>
      </c>
      <c r="C210" s="31">
        <v>14000</v>
      </c>
      <c r="D210" s="114">
        <v>0</v>
      </c>
      <c r="E210" s="31">
        <f t="shared" si="39"/>
        <v>14000</v>
      </c>
      <c r="F210" s="31">
        <v>1630</v>
      </c>
      <c r="G210" s="31">
        <v>0</v>
      </c>
      <c r="H210" s="152">
        <f t="shared" si="40"/>
        <v>15630</v>
      </c>
      <c r="I210" s="31">
        <v>0</v>
      </c>
      <c r="J210" s="31">
        <v>0</v>
      </c>
      <c r="K210" s="31">
        <f t="shared" si="29"/>
        <v>15630</v>
      </c>
      <c r="L210" s="31">
        <f>3720</f>
        <v>3720</v>
      </c>
      <c r="M210" s="31">
        <v>0</v>
      </c>
      <c r="N210" s="61">
        <f t="shared" si="28"/>
        <v>19350</v>
      </c>
    </row>
    <row r="211" spans="1:14" ht="14.25" customHeight="1" x14ac:dyDescent="0.25">
      <c r="A211" s="29" t="s">
        <v>237</v>
      </c>
      <c r="B211" s="145" t="s">
        <v>84</v>
      </c>
      <c r="C211" s="31">
        <v>0</v>
      </c>
      <c r="D211" s="114"/>
      <c r="E211" s="31">
        <v>0</v>
      </c>
      <c r="F211" s="31">
        <v>0</v>
      </c>
      <c r="G211" s="31">
        <f>17961</f>
        <v>17961</v>
      </c>
      <c r="H211" s="152">
        <f t="shared" si="40"/>
        <v>17961</v>
      </c>
      <c r="I211" s="31">
        <v>0</v>
      </c>
      <c r="J211" s="31">
        <v>0</v>
      </c>
      <c r="K211" s="31">
        <f t="shared" si="29"/>
        <v>17961</v>
      </c>
      <c r="L211" s="31">
        <v>0</v>
      </c>
      <c r="M211" s="31">
        <f>5515</f>
        <v>5515</v>
      </c>
      <c r="N211" s="61">
        <f t="shared" si="28"/>
        <v>23476</v>
      </c>
    </row>
    <row r="212" spans="1:14" ht="54" customHeight="1" x14ac:dyDescent="0.25">
      <c r="A212" s="29" t="s">
        <v>238</v>
      </c>
      <c r="B212" s="145" t="s">
        <v>84</v>
      </c>
      <c r="C212" s="31">
        <v>13200</v>
      </c>
      <c r="D212" s="114">
        <v>0</v>
      </c>
      <c r="E212" s="31">
        <f t="shared" si="39"/>
        <v>13200</v>
      </c>
      <c r="F212" s="31">
        <v>610</v>
      </c>
      <c r="G212" s="31">
        <v>0</v>
      </c>
      <c r="H212" s="152">
        <f t="shared" si="40"/>
        <v>13810</v>
      </c>
      <c r="I212" s="31">
        <v>0</v>
      </c>
      <c r="J212" s="31">
        <v>0</v>
      </c>
      <c r="K212" s="31">
        <f t="shared" si="29"/>
        <v>13810</v>
      </c>
      <c r="L212" s="31">
        <f>900</f>
        <v>900</v>
      </c>
      <c r="M212" s="31">
        <v>0</v>
      </c>
      <c r="N212" s="61">
        <f t="shared" ref="N212:N278" si="41">SUM(K212:M212)</f>
        <v>14710</v>
      </c>
    </row>
    <row r="213" spans="1:14" ht="16.5" customHeight="1" x14ac:dyDescent="0.25">
      <c r="A213" s="29" t="s">
        <v>239</v>
      </c>
      <c r="B213" s="145" t="s">
        <v>84</v>
      </c>
      <c r="C213" s="31">
        <v>0</v>
      </c>
      <c r="D213" s="114"/>
      <c r="E213" s="31">
        <v>0</v>
      </c>
      <c r="F213" s="31">
        <v>0</v>
      </c>
      <c r="G213" s="31">
        <f>13259</f>
        <v>13259</v>
      </c>
      <c r="H213" s="152">
        <f t="shared" si="40"/>
        <v>13259</v>
      </c>
      <c r="I213" s="31">
        <v>0</v>
      </c>
      <c r="J213" s="31">
        <v>0</v>
      </c>
      <c r="K213" s="31">
        <f t="shared" si="29"/>
        <v>13259</v>
      </c>
      <c r="L213" s="31">
        <v>0</v>
      </c>
      <c r="M213" s="31">
        <f>2341</f>
        <v>2341</v>
      </c>
      <c r="N213" s="61">
        <f t="shared" si="41"/>
        <v>15600</v>
      </c>
    </row>
    <row r="214" spans="1:14" ht="54.75" customHeight="1" x14ac:dyDescent="0.25">
      <c r="A214" s="29" t="s">
        <v>240</v>
      </c>
      <c r="B214" s="145" t="s">
        <v>84</v>
      </c>
      <c r="C214" s="31">
        <v>10180</v>
      </c>
      <c r="D214" s="114">
        <v>0</v>
      </c>
      <c r="E214" s="31">
        <f t="shared" si="39"/>
        <v>10180</v>
      </c>
      <c r="F214" s="31">
        <v>330</v>
      </c>
      <c r="G214" s="31">
        <v>0</v>
      </c>
      <c r="H214" s="152">
        <f t="shared" si="40"/>
        <v>10510</v>
      </c>
      <c r="I214" s="31">
        <v>0</v>
      </c>
      <c r="J214" s="31">
        <v>0</v>
      </c>
      <c r="K214" s="31">
        <f t="shared" si="29"/>
        <v>10510</v>
      </c>
      <c r="L214" s="31">
        <v>0</v>
      </c>
      <c r="M214" s="31">
        <v>0</v>
      </c>
      <c r="N214" s="61">
        <f t="shared" si="41"/>
        <v>10510</v>
      </c>
    </row>
    <row r="215" spans="1:14" ht="15.75" customHeight="1" x14ac:dyDescent="0.25">
      <c r="A215" s="29" t="s">
        <v>241</v>
      </c>
      <c r="B215" s="145" t="s">
        <v>84</v>
      </c>
      <c r="C215" s="31">
        <v>0</v>
      </c>
      <c r="D215" s="114"/>
      <c r="E215" s="31">
        <v>0</v>
      </c>
      <c r="F215" s="31">
        <v>0</v>
      </c>
      <c r="G215" s="31">
        <v>4698</v>
      </c>
      <c r="H215" s="152">
        <f>SUM(E215:G215)</f>
        <v>4698</v>
      </c>
      <c r="I215" s="31">
        <v>0</v>
      </c>
      <c r="J215" s="31">
        <v>0</v>
      </c>
      <c r="K215" s="31">
        <f t="shared" si="29"/>
        <v>4698</v>
      </c>
      <c r="L215" s="31">
        <v>0</v>
      </c>
      <c r="M215" s="31">
        <f>823</f>
        <v>823</v>
      </c>
      <c r="N215" s="61">
        <f t="shared" si="41"/>
        <v>5521</v>
      </c>
    </row>
    <row r="216" spans="1:14" ht="66" customHeight="1" x14ac:dyDescent="0.25">
      <c r="A216" s="29" t="s">
        <v>242</v>
      </c>
      <c r="B216" s="144" t="s">
        <v>84</v>
      </c>
      <c r="C216" s="31">
        <v>9900</v>
      </c>
      <c r="D216" s="31">
        <v>0</v>
      </c>
      <c r="E216" s="31">
        <f t="shared" si="39"/>
        <v>9900</v>
      </c>
      <c r="F216" s="31">
        <v>330</v>
      </c>
      <c r="G216" s="31">
        <v>0</v>
      </c>
      <c r="H216" s="31">
        <f t="shared" si="40"/>
        <v>10230</v>
      </c>
      <c r="I216" s="31">
        <v>0</v>
      </c>
      <c r="J216" s="31">
        <v>0</v>
      </c>
      <c r="K216" s="31">
        <f t="shared" si="29"/>
        <v>10230</v>
      </c>
      <c r="L216" s="31">
        <v>0</v>
      </c>
      <c r="M216" s="31">
        <v>0</v>
      </c>
      <c r="N216" s="32">
        <f t="shared" si="41"/>
        <v>10230</v>
      </c>
    </row>
    <row r="217" spans="1:14" ht="17.25" customHeight="1" x14ac:dyDescent="0.25">
      <c r="A217" s="29" t="s">
        <v>243</v>
      </c>
      <c r="B217" s="144" t="s">
        <v>84</v>
      </c>
      <c r="C217" s="31">
        <v>0</v>
      </c>
      <c r="D217" s="31"/>
      <c r="E217" s="31">
        <v>0</v>
      </c>
      <c r="F217" s="31">
        <v>0</v>
      </c>
      <c r="G217" s="31">
        <f>5534</f>
        <v>5534</v>
      </c>
      <c r="H217" s="31">
        <f t="shared" si="40"/>
        <v>5534</v>
      </c>
      <c r="I217" s="31">
        <v>0</v>
      </c>
      <c r="J217" s="31">
        <v>0</v>
      </c>
      <c r="K217" s="31">
        <f t="shared" si="29"/>
        <v>5534</v>
      </c>
      <c r="L217" s="31">
        <v>0</v>
      </c>
      <c r="M217" s="31">
        <f>348</f>
        <v>348</v>
      </c>
      <c r="N217" s="32">
        <f t="shared" si="41"/>
        <v>5882</v>
      </c>
    </row>
    <row r="218" spans="1:14" ht="24.75" customHeight="1" x14ac:dyDescent="0.25">
      <c r="A218" s="29" t="s">
        <v>244</v>
      </c>
      <c r="B218" s="144"/>
      <c r="C218" s="31">
        <v>4.29</v>
      </c>
      <c r="D218" s="31">
        <v>0</v>
      </c>
      <c r="E218" s="31">
        <f t="shared" si="39"/>
        <v>4.29</v>
      </c>
      <c r="F218" s="31">
        <v>0</v>
      </c>
      <c r="G218" s="31">
        <v>0</v>
      </c>
      <c r="H218" s="31">
        <f t="shared" si="40"/>
        <v>4.29</v>
      </c>
      <c r="I218" s="31">
        <v>0</v>
      </c>
      <c r="J218" s="31">
        <v>0</v>
      </c>
      <c r="K218" s="31">
        <f t="shared" si="29"/>
        <v>4.29</v>
      </c>
      <c r="L218" s="31">
        <v>0</v>
      </c>
      <c r="M218" s="31">
        <v>0</v>
      </c>
      <c r="N218" s="32">
        <f t="shared" si="41"/>
        <v>4.29</v>
      </c>
    </row>
    <row r="219" spans="1:14" ht="16.5" customHeight="1" x14ac:dyDescent="0.25">
      <c r="A219" s="140" t="s">
        <v>245</v>
      </c>
      <c r="B219" s="144"/>
      <c r="C219" s="31">
        <v>0</v>
      </c>
      <c r="D219" s="31">
        <v>0</v>
      </c>
      <c r="E219" s="31">
        <f t="shared" si="39"/>
        <v>0</v>
      </c>
      <c r="F219" s="31">
        <v>0</v>
      </c>
      <c r="G219" s="31">
        <v>0</v>
      </c>
      <c r="H219" s="31">
        <f t="shared" si="40"/>
        <v>0</v>
      </c>
      <c r="I219" s="31">
        <v>0</v>
      </c>
      <c r="J219" s="31">
        <v>0</v>
      </c>
      <c r="K219" s="31">
        <f t="shared" si="29"/>
        <v>0</v>
      </c>
      <c r="L219" s="31">
        <v>0</v>
      </c>
      <c r="M219" s="31">
        <v>0</v>
      </c>
      <c r="N219" s="32">
        <f t="shared" si="41"/>
        <v>0</v>
      </c>
    </row>
    <row r="220" spans="1:14" ht="16.5" customHeight="1" x14ac:dyDescent="0.25">
      <c r="A220" s="29" t="s">
        <v>246</v>
      </c>
      <c r="B220" s="144" t="s">
        <v>63</v>
      </c>
      <c r="C220" s="31">
        <v>20</v>
      </c>
      <c r="D220" s="31">
        <v>0</v>
      </c>
      <c r="E220" s="31">
        <f t="shared" si="39"/>
        <v>20</v>
      </c>
      <c r="F220" s="31">
        <v>0</v>
      </c>
      <c r="G220" s="31">
        <v>0</v>
      </c>
      <c r="H220" s="31">
        <f t="shared" si="40"/>
        <v>20</v>
      </c>
      <c r="I220" s="31">
        <v>0</v>
      </c>
      <c r="J220" s="31">
        <v>0</v>
      </c>
      <c r="K220" s="31">
        <f t="shared" si="29"/>
        <v>20</v>
      </c>
      <c r="L220" s="31">
        <v>0</v>
      </c>
      <c r="M220" s="31">
        <v>0</v>
      </c>
      <c r="N220" s="32">
        <f t="shared" si="41"/>
        <v>20</v>
      </c>
    </row>
    <row r="221" spans="1:14" ht="16.5" customHeight="1" x14ac:dyDescent="0.25">
      <c r="A221" s="29" t="s">
        <v>247</v>
      </c>
      <c r="B221" s="144" t="s">
        <v>63</v>
      </c>
      <c r="C221" s="31">
        <v>20</v>
      </c>
      <c r="D221" s="31">
        <v>0</v>
      </c>
      <c r="E221" s="31">
        <f t="shared" si="39"/>
        <v>20</v>
      </c>
      <c r="F221" s="31">
        <v>0</v>
      </c>
      <c r="G221" s="31">
        <v>0</v>
      </c>
      <c r="H221" s="31">
        <f t="shared" si="40"/>
        <v>20</v>
      </c>
      <c r="I221" s="31">
        <v>0</v>
      </c>
      <c r="J221" s="31">
        <v>0</v>
      </c>
      <c r="K221" s="31">
        <f t="shared" si="29"/>
        <v>20</v>
      </c>
      <c r="L221" s="31">
        <v>0</v>
      </c>
      <c r="M221" s="31">
        <v>0</v>
      </c>
      <c r="N221" s="32">
        <f t="shared" si="41"/>
        <v>20</v>
      </c>
    </row>
    <row r="222" spans="1:14" ht="17.25" customHeight="1" x14ac:dyDescent="0.25">
      <c r="A222" s="140" t="s">
        <v>248</v>
      </c>
      <c r="B222" s="144" t="s">
        <v>63</v>
      </c>
      <c r="C222" s="31">
        <v>70</v>
      </c>
      <c r="D222" s="31">
        <v>0</v>
      </c>
      <c r="E222" s="31">
        <f t="shared" si="39"/>
        <v>70</v>
      </c>
      <c r="F222" s="31">
        <v>0</v>
      </c>
      <c r="G222" s="31">
        <v>0</v>
      </c>
      <c r="H222" s="31">
        <f t="shared" si="40"/>
        <v>70</v>
      </c>
      <c r="I222" s="31">
        <v>0</v>
      </c>
      <c r="J222" s="31">
        <v>0</v>
      </c>
      <c r="K222" s="31">
        <f t="shared" si="29"/>
        <v>70</v>
      </c>
      <c r="L222" s="31">
        <v>0</v>
      </c>
      <c r="M222" s="31">
        <v>0</v>
      </c>
      <c r="N222" s="32">
        <f t="shared" si="41"/>
        <v>70</v>
      </c>
    </row>
    <row r="223" spans="1:14" ht="17.25" customHeight="1" x14ac:dyDescent="0.25">
      <c r="A223" s="140" t="s">
        <v>249</v>
      </c>
      <c r="B223" s="144" t="s">
        <v>84</v>
      </c>
      <c r="C223" s="31">
        <v>3700</v>
      </c>
      <c r="D223" s="31">
        <v>0</v>
      </c>
      <c r="E223" s="31">
        <f t="shared" si="39"/>
        <v>3700</v>
      </c>
      <c r="F223" s="31">
        <v>0</v>
      </c>
      <c r="G223" s="31">
        <v>0</v>
      </c>
      <c r="H223" s="31">
        <f t="shared" si="40"/>
        <v>3700</v>
      </c>
      <c r="I223" s="31">
        <v>0</v>
      </c>
      <c r="J223" s="31">
        <v>0</v>
      </c>
      <c r="K223" s="31">
        <f t="shared" si="29"/>
        <v>3700</v>
      </c>
      <c r="L223" s="31">
        <v>0</v>
      </c>
      <c r="M223" s="31">
        <v>0</v>
      </c>
      <c r="N223" s="32">
        <f t="shared" si="41"/>
        <v>3700</v>
      </c>
    </row>
    <row r="224" spans="1:14" ht="16.5" customHeight="1" x14ac:dyDescent="0.25">
      <c r="A224" s="140" t="s">
        <v>250</v>
      </c>
      <c r="B224" s="144" t="s">
        <v>63</v>
      </c>
      <c r="C224" s="31">
        <v>80</v>
      </c>
      <c r="D224" s="31">
        <v>0</v>
      </c>
      <c r="E224" s="31">
        <f t="shared" si="39"/>
        <v>80</v>
      </c>
      <c r="F224" s="31">
        <v>0</v>
      </c>
      <c r="G224" s="31">
        <v>0</v>
      </c>
      <c r="H224" s="31">
        <f t="shared" si="40"/>
        <v>80</v>
      </c>
      <c r="I224" s="31">
        <v>0</v>
      </c>
      <c r="J224" s="31">
        <v>0</v>
      </c>
      <c r="K224" s="31">
        <f t="shared" si="29"/>
        <v>80</v>
      </c>
      <c r="L224" s="31">
        <v>0</v>
      </c>
      <c r="M224" s="31">
        <v>0</v>
      </c>
      <c r="N224" s="32">
        <f>SUM(K224:M224)</f>
        <v>80</v>
      </c>
    </row>
    <row r="225" spans="1:14" ht="16.5" customHeight="1" x14ac:dyDescent="0.25">
      <c r="A225" s="140" t="s">
        <v>251</v>
      </c>
      <c r="B225" s="144" t="s">
        <v>84</v>
      </c>
      <c r="C225" s="31">
        <v>0</v>
      </c>
      <c r="D225" s="31"/>
      <c r="E225" s="31"/>
      <c r="F225" s="31"/>
      <c r="G225" s="31"/>
      <c r="H225" s="31"/>
      <c r="I225" s="31"/>
      <c r="J225" s="31"/>
      <c r="K225" s="31">
        <v>0</v>
      </c>
      <c r="L225" s="31">
        <v>0</v>
      </c>
      <c r="M225" s="31">
        <f>45</f>
        <v>45</v>
      </c>
      <c r="N225" s="32">
        <f>SUM(K225:M225)</f>
        <v>45</v>
      </c>
    </row>
    <row r="226" spans="1:14" ht="16.5" customHeight="1" x14ac:dyDescent="0.25">
      <c r="A226" s="140" t="s">
        <v>252</v>
      </c>
      <c r="B226" s="144" t="s">
        <v>84</v>
      </c>
      <c r="C226" s="31">
        <v>50</v>
      </c>
      <c r="D226" s="31">
        <v>0</v>
      </c>
      <c r="E226" s="31">
        <f t="shared" si="39"/>
        <v>50</v>
      </c>
      <c r="F226" s="31">
        <v>0</v>
      </c>
      <c r="G226" s="31">
        <v>0</v>
      </c>
      <c r="H226" s="31">
        <f t="shared" si="40"/>
        <v>50</v>
      </c>
      <c r="I226" s="31">
        <v>0</v>
      </c>
      <c r="J226" s="31">
        <v>0</v>
      </c>
      <c r="K226" s="31">
        <f t="shared" si="29"/>
        <v>50</v>
      </c>
      <c r="L226" s="31">
        <v>0</v>
      </c>
      <c r="M226" s="31">
        <v>0</v>
      </c>
      <c r="N226" s="32">
        <f t="shared" si="41"/>
        <v>50</v>
      </c>
    </row>
    <row r="227" spans="1:14" ht="17.25" customHeight="1" x14ac:dyDescent="0.25">
      <c r="A227" s="140" t="s">
        <v>253</v>
      </c>
      <c r="B227" s="144" t="s">
        <v>84</v>
      </c>
      <c r="C227" s="31">
        <v>80</v>
      </c>
      <c r="D227" s="31">
        <v>0</v>
      </c>
      <c r="E227" s="31">
        <f t="shared" si="39"/>
        <v>80</v>
      </c>
      <c r="F227" s="31">
        <v>0</v>
      </c>
      <c r="G227" s="31">
        <v>0</v>
      </c>
      <c r="H227" s="31">
        <f t="shared" si="40"/>
        <v>80</v>
      </c>
      <c r="I227" s="31">
        <v>0</v>
      </c>
      <c r="J227" s="31">
        <v>0</v>
      </c>
      <c r="K227" s="31">
        <f t="shared" si="29"/>
        <v>80</v>
      </c>
      <c r="L227" s="31">
        <v>0</v>
      </c>
      <c r="M227" s="31">
        <v>0</v>
      </c>
      <c r="N227" s="32">
        <f t="shared" si="41"/>
        <v>80</v>
      </c>
    </row>
    <row r="228" spans="1:14" ht="17.25" customHeight="1" x14ac:dyDescent="0.25">
      <c r="A228" s="140" t="s">
        <v>254</v>
      </c>
      <c r="B228" s="144" t="s">
        <v>84</v>
      </c>
      <c r="C228" s="31">
        <v>0</v>
      </c>
      <c r="D228" s="31"/>
      <c r="E228" s="31"/>
      <c r="F228" s="31"/>
      <c r="G228" s="31"/>
      <c r="H228" s="31"/>
      <c r="I228" s="31"/>
      <c r="J228" s="31"/>
      <c r="K228" s="31">
        <v>0</v>
      </c>
      <c r="L228" s="31">
        <v>0</v>
      </c>
      <c r="M228" s="31">
        <f>5</f>
        <v>5</v>
      </c>
      <c r="N228" s="32">
        <f>SUM(K228:M228)</f>
        <v>5</v>
      </c>
    </row>
    <row r="229" spans="1:14" ht="17.25" customHeight="1" x14ac:dyDescent="0.25">
      <c r="A229" s="140" t="s">
        <v>255</v>
      </c>
      <c r="B229" s="144" t="s">
        <v>84</v>
      </c>
      <c r="C229" s="31">
        <v>550</v>
      </c>
      <c r="D229" s="31">
        <v>0</v>
      </c>
      <c r="E229" s="31">
        <f t="shared" si="39"/>
        <v>550</v>
      </c>
      <c r="F229" s="31">
        <v>0</v>
      </c>
      <c r="G229" s="31">
        <v>0</v>
      </c>
      <c r="H229" s="31">
        <f t="shared" si="40"/>
        <v>550</v>
      </c>
      <c r="I229" s="31">
        <v>0</v>
      </c>
      <c r="J229" s="31">
        <v>0</v>
      </c>
      <c r="K229" s="31">
        <f t="shared" si="29"/>
        <v>550</v>
      </c>
      <c r="L229" s="31">
        <f>60</f>
        <v>60</v>
      </c>
      <c r="M229" s="31">
        <v>0</v>
      </c>
      <c r="N229" s="32">
        <f t="shared" si="41"/>
        <v>610</v>
      </c>
    </row>
    <row r="230" spans="1:14" ht="15.75" customHeight="1" x14ac:dyDescent="0.25">
      <c r="A230" s="146" t="s">
        <v>256</v>
      </c>
      <c r="B230" s="144" t="s">
        <v>63</v>
      </c>
      <c r="C230" s="31">
        <v>30</v>
      </c>
      <c r="D230" s="31">
        <v>0</v>
      </c>
      <c r="E230" s="31">
        <f t="shared" si="39"/>
        <v>30</v>
      </c>
      <c r="F230" s="31">
        <v>17.5</v>
      </c>
      <c r="G230" s="31">
        <f>-17.5</f>
        <v>-17.5</v>
      </c>
      <c r="H230" s="31">
        <f t="shared" si="40"/>
        <v>30</v>
      </c>
      <c r="I230" s="31">
        <v>0</v>
      </c>
      <c r="J230" s="31">
        <v>0</v>
      </c>
      <c r="K230" s="31">
        <f t="shared" si="29"/>
        <v>30</v>
      </c>
      <c r="L230" s="31">
        <v>0</v>
      </c>
      <c r="M230" s="31">
        <v>0</v>
      </c>
      <c r="N230" s="32">
        <f t="shared" si="41"/>
        <v>30</v>
      </c>
    </row>
    <row r="231" spans="1:14" ht="14.25" customHeight="1" x14ac:dyDescent="0.25">
      <c r="A231" s="29" t="s">
        <v>257</v>
      </c>
      <c r="B231" s="144" t="s">
        <v>63</v>
      </c>
      <c r="C231" s="31">
        <v>20</v>
      </c>
      <c r="D231" s="31">
        <v>0</v>
      </c>
      <c r="E231" s="31">
        <f>SUM(C231:D231)</f>
        <v>20</v>
      </c>
      <c r="F231" s="31">
        <v>0</v>
      </c>
      <c r="G231" s="31">
        <v>0</v>
      </c>
      <c r="H231" s="31">
        <f t="shared" si="40"/>
        <v>20</v>
      </c>
      <c r="I231" s="31">
        <v>0</v>
      </c>
      <c r="J231" s="31">
        <v>0</v>
      </c>
      <c r="K231" s="31">
        <f t="shared" si="29"/>
        <v>20</v>
      </c>
      <c r="L231" s="31">
        <v>0</v>
      </c>
      <c r="M231" s="31">
        <v>0</v>
      </c>
      <c r="N231" s="32">
        <f t="shared" si="41"/>
        <v>20</v>
      </c>
    </row>
    <row r="232" spans="1:14" ht="14.25" customHeight="1" x14ac:dyDescent="0.25">
      <c r="A232" s="29" t="s">
        <v>258</v>
      </c>
      <c r="B232" s="144" t="s">
        <v>84</v>
      </c>
      <c r="C232" s="31">
        <v>0</v>
      </c>
      <c r="D232" s="31"/>
      <c r="E232" s="31">
        <v>0</v>
      </c>
      <c r="F232" s="31">
        <v>0</v>
      </c>
      <c r="G232" s="31">
        <f>10</f>
        <v>10</v>
      </c>
      <c r="H232" s="31">
        <f>SUM(E232:G232)</f>
        <v>10</v>
      </c>
      <c r="I232" s="31">
        <v>0</v>
      </c>
      <c r="J232" s="31">
        <v>0</v>
      </c>
      <c r="K232" s="31">
        <f t="shared" si="29"/>
        <v>10</v>
      </c>
      <c r="L232" s="31">
        <v>0</v>
      </c>
      <c r="M232" s="31">
        <v>0</v>
      </c>
      <c r="N232" s="32">
        <f t="shared" si="41"/>
        <v>10</v>
      </c>
    </row>
    <row r="233" spans="1:14" ht="14.25" customHeight="1" x14ac:dyDescent="0.25">
      <c r="A233" s="29" t="s">
        <v>259</v>
      </c>
      <c r="B233" s="144" t="s">
        <v>84</v>
      </c>
      <c r="C233" s="31">
        <v>0</v>
      </c>
      <c r="D233" s="31"/>
      <c r="E233" s="31">
        <v>0</v>
      </c>
      <c r="F233" s="31">
        <v>0</v>
      </c>
      <c r="G233" s="31">
        <f>10</f>
        <v>10</v>
      </c>
      <c r="H233" s="31">
        <f>SUM(E233:G233)</f>
        <v>10</v>
      </c>
      <c r="I233" s="31">
        <v>0</v>
      </c>
      <c r="J233" s="31">
        <v>0</v>
      </c>
      <c r="K233" s="31">
        <f t="shared" si="29"/>
        <v>10</v>
      </c>
      <c r="L233" s="31">
        <v>0</v>
      </c>
      <c r="M233" s="31">
        <v>0</v>
      </c>
      <c r="N233" s="32">
        <f t="shared" si="41"/>
        <v>10</v>
      </c>
    </row>
    <row r="234" spans="1:14" ht="51.75" customHeight="1" x14ac:dyDescent="0.25">
      <c r="A234" s="146" t="s">
        <v>260</v>
      </c>
      <c r="B234" s="144" t="s">
        <v>84</v>
      </c>
      <c r="C234" s="31">
        <v>228</v>
      </c>
      <c r="D234" s="31">
        <v>0</v>
      </c>
      <c r="E234" s="31">
        <f t="shared" si="39"/>
        <v>228</v>
      </c>
      <c r="F234" s="31">
        <v>0</v>
      </c>
      <c r="G234" s="31">
        <v>0</v>
      </c>
      <c r="H234" s="31">
        <f t="shared" si="40"/>
        <v>228</v>
      </c>
      <c r="I234" s="31">
        <v>0</v>
      </c>
      <c r="J234" s="31">
        <v>0</v>
      </c>
      <c r="K234" s="31">
        <f t="shared" si="29"/>
        <v>228</v>
      </c>
      <c r="L234" s="31">
        <v>0</v>
      </c>
      <c r="M234" s="31">
        <v>0</v>
      </c>
      <c r="N234" s="32">
        <f t="shared" si="41"/>
        <v>228</v>
      </c>
    </row>
    <row r="235" spans="1:14" ht="17.25" customHeight="1" x14ac:dyDescent="0.25">
      <c r="A235" s="146" t="s">
        <v>261</v>
      </c>
      <c r="B235" s="144" t="s">
        <v>84</v>
      </c>
      <c r="C235" s="31">
        <v>1210</v>
      </c>
      <c r="D235" s="31">
        <v>0</v>
      </c>
      <c r="E235" s="31">
        <f t="shared" si="39"/>
        <v>1210</v>
      </c>
      <c r="F235" s="31">
        <v>0</v>
      </c>
      <c r="G235" s="31">
        <v>0</v>
      </c>
      <c r="H235" s="31">
        <f t="shared" si="40"/>
        <v>1210</v>
      </c>
      <c r="I235" s="31">
        <v>0</v>
      </c>
      <c r="J235" s="31">
        <v>0</v>
      </c>
      <c r="K235" s="31">
        <f t="shared" si="29"/>
        <v>1210</v>
      </c>
      <c r="L235" s="31">
        <f>-383</f>
        <v>-383</v>
      </c>
      <c r="M235" s="31">
        <v>0</v>
      </c>
      <c r="N235" s="32">
        <f t="shared" si="41"/>
        <v>827</v>
      </c>
    </row>
    <row r="236" spans="1:14" ht="16.5" customHeight="1" x14ac:dyDescent="0.25">
      <c r="A236" s="146" t="s">
        <v>262</v>
      </c>
      <c r="B236" s="144" t="s">
        <v>84</v>
      </c>
      <c r="C236" s="31">
        <v>0</v>
      </c>
      <c r="D236" s="31"/>
      <c r="E236" s="31">
        <v>0</v>
      </c>
      <c r="F236" s="31">
        <v>0</v>
      </c>
      <c r="G236" s="31">
        <f>5</f>
        <v>5</v>
      </c>
      <c r="H236" s="31">
        <f>SUM(E236:G236)</f>
        <v>5</v>
      </c>
      <c r="I236" s="31">
        <v>0</v>
      </c>
      <c r="J236" s="31">
        <v>0</v>
      </c>
      <c r="K236" s="31">
        <f t="shared" si="29"/>
        <v>5</v>
      </c>
      <c r="L236" s="31">
        <v>0</v>
      </c>
      <c r="M236" s="31">
        <v>0</v>
      </c>
      <c r="N236" s="32">
        <f t="shared" si="41"/>
        <v>5</v>
      </c>
    </row>
    <row r="237" spans="1:14" ht="17.25" customHeight="1" x14ac:dyDescent="0.25">
      <c r="A237" s="146" t="s">
        <v>263</v>
      </c>
      <c r="B237" s="144" t="s">
        <v>84</v>
      </c>
      <c r="C237" s="31">
        <v>0</v>
      </c>
      <c r="D237" s="31"/>
      <c r="E237" s="31">
        <v>0</v>
      </c>
      <c r="F237" s="31">
        <v>50</v>
      </c>
      <c r="G237" s="31">
        <v>0</v>
      </c>
      <c r="H237" s="31">
        <f t="shared" si="40"/>
        <v>50</v>
      </c>
      <c r="I237" s="31">
        <v>0</v>
      </c>
      <c r="J237" s="31">
        <v>0</v>
      </c>
      <c r="K237" s="31">
        <f t="shared" ref="K237:K311" si="42">SUM(H237:J237)</f>
        <v>50</v>
      </c>
      <c r="L237" s="31">
        <v>0</v>
      </c>
      <c r="M237" s="31">
        <v>0</v>
      </c>
      <c r="N237" s="32">
        <f t="shared" si="41"/>
        <v>50</v>
      </c>
    </row>
    <row r="238" spans="1:14" ht="16.5" customHeight="1" x14ac:dyDescent="0.25">
      <c r="A238" s="146" t="s">
        <v>264</v>
      </c>
      <c r="B238" s="144" t="s">
        <v>84</v>
      </c>
      <c r="C238" s="31">
        <v>0</v>
      </c>
      <c r="D238" s="31"/>
      <c r="E238" s="31">
        <v>0</v>
      </c>
      <c r="F238" s="31">
        <v>100</v>
      </c>
      <c r="G238" s="31">
        <v>0</v>
      </c>
      <c r="H238" s="31">
        <f t="shared" si="40"/>
        <v>100</v>
      </c>
      <c r="I238" s="31">
        <v>0</v>
      </c>
      <c r="J238" s="31">
        <v>0</v>
      </c>
      <c r="K238" s="31">
        <f t="shared" si="42"/>
        <v>100</v>
      </c>
      <c r="L238" s="31">
        <v>0</v>
      </c>
      <c r="M238" s="31">
        <v>0</v>
      </c>
      <c r="N238" s="32">
        <f t="shared" si="41"/>
        <v>100</v>
      </c>
    </row>
    <row r="239" spans="1:14" ht="16.5" customHeight="1" x14ac:dyDescent="0.25">
      <c r="A239" s="146" t="s">
        <v>265</v>
      </c>
      <c r="B239" s="144" t="s">
        <v>84</v>
      </c>
      <c r="C239" s="31">
        <v>0</v>
      </c>
      <c r="D239" s="31"/>
      <c r="E239" s="31"/>
      <c r="F239" s="31"/>
      <c r="G239" s="31"/>
      <c r="H239" s="31"/>
      <c r="I239" s="31"/>
      <c r="J239" s="31"/>
      <c r="K239" s="31">
        <v>0</v>
      </c>
      <c r="L239" s="31">
        <f>550</f>
        <v>550</v>
      </c>
      <c r="M239" s="31">
        <v>0</v>
      </c>
      <c r="N239" s="32">
        <f t="shared" si="41"/>
        <v>550</v>
      </c>
    </row>
    <row r="240" spans="1:14" ht="17.25" customHeight="1" x14ac:dyDescent="0.25">
      <c r="A240" s="29" t="s">
        <v>266</v>
      </c>
      <c r="B240" s="144" t="s">
        <v>84</v>
      </c>
      <c r="C240" s="31">
        <v>668</v>
      </c>
      <c r="D240" s="31">
        <v>0</v>
      </c>
      <c r="E240" s="31">
        <f t="shared" si="39"/>
        <v>668</v>
      </c>
      <c r="F240" s="31">
        <v>0</v>
      </c>
      <c r="G240" s="31">
        <v>0</v>
      </c>
      <c r="H240" s="31">
        <f t="shared" si="40"/>
        <v>668</v>
      </c>
      <c r="I240" s="31">
        <v>0</v>
      </c>
      <c r="J240" s="31">
        <v>0</v>
      </c>
      <c r="K240" s="31">
        <f t="shared" si="42"/>
        <v>668</v>
      </c>
      <c r="L240" s="31">
        <v>0</v>
      </c>
      <c r="M240" s="31">
        <v>0</v>
      </c>
      <c r="N240" s="32">
        <f t="shared" si="41"/>
        <v>668</v>
      </c>
    </row>
    <row r="241" spans="1:14" ht="16.5" customHeight="1" x14ac:dyDescent="0.25">
      <c r="A241" s="29" t="s">
        <v>267</v>
      </c>
      <c r="B241" s="144" t="s">
        <v>84</v>
      </c>
      <c r="C241" s="31">
        <v>526</v>
      </c>
      <c r="D241" s="31">
        <v>0</v>
      </c>
      <c r="E241" s="31">
        <f t="shared" si="39"/>
        <v>526</v>
      </c>
      <c r="F241" s="31">
        <v>0</v>
      </c>
      <c r="G241" s="31">
        <v>0</v>
      </c>
      <c r="H241" s="31">
        <f t="shared" si="40"/>
        <v>526</v>
      </c>
      <c r="I241" s="31">
        <v>0</v>
      </c>
      <c r="J241" s="31">
        <v>0</v>
      </c>
      <c r="K241" s="31">
        <f t="shared" si="42"/>
        <v>526</v>
      </c>
      <c r="L241" s="31">
        <v>0</v>
      </c>
      <c r="M241" s="31">
        <v>0</v>
      </c>
      <c r="N241" s="32">
        <f t="shared" si="41"/>
        <v>526</v>
      </c>
    </row>
    <row r="242" spans="1:14" ht="19.5" customHeight="1" x14ac:dyDescent="0.25">
      <c r="A242" s="29" t="s">
        <v>268</v>
      </c>
      <c r="B242" s="144" t="s">
        <v>84</v>
      </c>
      <c r="C242" s="31">
        <v>110</v>
      </c>
      <c r="D242" s="31">
        <v>0</v>
      </c>
      <c r="E242" s="31">
        <f t="shared" si="39"/>
        <v>110</v>
      </c>
      <c r="F242" s="31">
        <v>0</v>
      </c>
      <c r="G242" s="31">
        <v>0</v>
      </c>
      <c r="H242" s="31">
        <f t="shared" si="40"/>
        <v>110</v>
      </c>
      <c r="I242" s="31">
        <v>0</v>
      </c>
      <c r="J242" s="31">
        <v>0</v>
      </c>
      <c r="K242" s="31">
        <f t="shared" si="42"/>
        <v>110</v>
      </c>
      <c r="L242" s="31">
        <v>0</v>
      </c>
      <c r="M242" s="31">
        <v>0</v>
      </c>
      <c r="N242" s="32">
        <f t="shared" si="41"/>
        <v>110</v>
      </c>
    </row>
    <row r="243" spans="1:14" ht="16.5" customHeight="1" x14ac:dyDescent="0.25">
      <c r="A243" s="29" t="s">
        <v>269</v>
      </c>
      <c r="B243" s="144" t="s">
        <v>84</v>
      </c>
      <c r="C243" s="31">
        <v>476</v>
      </c>
      <c r="D243" s="31">
        <v>0</v>
      </c>
      <c r="E243" s="31">
        <f t="shared" si="39"/>
        <v>476</v>
      </c>
      <c r="F243" s="31">
        <v>0</v>
      </c>
      <c r="G243" s="31">
        <v>0</v>
      </c>
      <c r="H243" s="31">
        <f t="shared" si="40"/>
        <v>476</v>
      </c>
      <c r="I243" s="31">
        <v>0</v>
      </c>
      <c r="J243" s="31">
        <v>0</v>
      </c>
      <c r="K243" s="31">
        <f t="shared" si="42"/>
        <v>476</v>
      </c>
      <c r="L243" s="31">
        <v>0</v>
      </c>
      <c r="M243" s="31">
        <v>0</v>
      </c>
      <c r="N243" s="32">
        <f t="shared" si="41"/>
        <v>476</v>
      </c>
    </row>
    <row r="244" spans="1:14" ht="16.5" customHeight="1" x14ac:dyDescent="0.25">
      <c r="A244" s="29" t="s">
        <v>270</v>
      </c>
      <c r="B244" s="144" t="s">
        <v>84</v>
      </c>
      <c r="C244" s="31">
        <v>750</v>
      </c>
      <c r="D244" s="31">
        <v>0</v>
      </c>
      <c r="E244" s="31">
        <f t="shared" si="39"/>
        <v>750</v>
      </c>
      <c r="F244" s="31">
        <v>0</v>
      </c>
      <c r="G244" s="31">
        <v>0</v>
      </c>
      <c r="H244" s="31">
        <f t="shared" si="40"/>
        <v>750</v>
      </c>
      <c r="I244" s="31">
        <v>0</v>
      </c>
      <c r="J244" s="31">
        <v>0</v>
      </c>
      <c r="K244" s="31">
        <f t="shared" si="42"/>
        <v>750</v>
      </c>
      <c r="L244" s="31">
        <v>0</v>
      </c>
      <c r="M244" s="31">
        <v>0</v>
      </c>
      <c r="N244" s="32">
        <f t="shared" si="41"/>
        <v>750</v>
      </c>
    </row>
    <row r="245" spans="1:14" ht="17.25" customHeight="1" x14ac:dyDescent="0.25">
      <c r="A245" s="146" t="s">
        <v>271</v>
      </c>
      <c r="B245" s="144" t="s">
        <v>84</v>
      </c>
      <c r="C245" s="31">
        <v>0</v>
      </c>
      <c r="D245" s="31"/>
      <c r="E245" s="31">
        <v>0</v>
      </c>
      <c r="F245" s="31">
        <v>150</v>
      </c>
      <c r="G245" s="31">
        <v>0</v>
      </c>
      <c r="H245" s="31">
        <f t="shared" si="40"/>
        <v>150</v>
      </c>
      <c r="I245" s="31">
        <v>0</v>
      </c>
      <c r="J245" s="31">
        <v>0</v>
      </c>
      <c r="K245" s="31">
        <f t="shared" si="42"/>
        <v>150</v>
      </c>
      <c r="L245" s="31">
        <v>0</v>
      </c>
      <c r="M245" s="31">
        <v>0</v>
      </c>
      <c r="N245" s="32">
        <f t="shared" si="41"/>
        <v>150</v>
      </c>
    </row>
    <row r="246" spans="1:14" ht="16.5" customHeight="1" x14ac:dyDescent="0.25">
      <c r="A246" s="146" t="s">
        <v>272</v>
      </c>
      <c r="B246" s="144" t="s">
        <v>84</v>
      </c>
      <c r="C246" s="31">
        <v>0</v>
      </c>
      <c r="D246" s="31"/>
      <c r="E246" s="31"/>
      <c r="F246" s="31"/>
      <c r="G246" s="31"/>
      <c r="H246" s="31">
        <v>0</v>
      </c>
      <c r="I246" s="31">
        <v>200</v>
      </c>
      <c r="J246" s="31">
        <v>0</v>
      </c>
      <c r="K246" s="31">
        <f t="shared" si="42"/>
        <v>200</v>
      </c>
      <c r="L246" s="31">
        <v>0</v>
      </c>
      <c r="M246" s="31">
        <v>0</v>
      </c>
      <c r="N246" s="32">
        <f t="shared" si="41"/>
        <v>200</v>
      </c>
    </row>
    <row r="247" spans="1:14" ht="15.75" thickBot="1" x14ac:dyDescent="0.3">
      <c r="A247" s="147" t="s">
        <v>273</v>
      </c>
      <c r="B247" s="119"/>
      <c r="C247" s="35">
        <v>3529.25</v>
      </c>
      <c r="D247" s="35">
        <f>16.22</f>
        <v>16.22</v>
      </c>
      <c r="E247" s="35">
        <f t="shared" si="39"/>
        <v>3545.47</v>
      </c>
      <c r="F247" s="35">
        <v>1211.27</v>
      </c>
      <c r="G247" s="35">
        <f>-16.22-7.5</f>
        <v>-23.72</v>
      </c>
      <c r="H247" s="35">
        <f t="shared" si="40"/>
        <v>4733.0199999999995</v>
      </c>
      <c r="I247" s="35">
        <v>250</v>
      </c>
      <c r="J247" s="35">
        <v>0</v>
      </c>
      <c r="K247" s="35">
        <f t="shared" si="42"/>
        <v>4983.0199999999995</v>
      </c>
      <c r="L247" s="35">
        <f>1773</f>
        <v>1773</v>
      </c>
      <c r="M247" s="35">
        <f>-5-45</f>
        <v>-50</v>
      </c>
      <c r="N247" s="36">
        <f t="shared" si="41"/>
        <v>6706.0199999999995</v>
      </c>
    </row>
    <row r="248" spans="1:14" ht="14.25" customHeight="1" thickBot="1" x14ac:dyDescent="0.3">
      <c r="A248" s="142" t="s">
        <v>274</v>
      </c>
      <c r="B248" s="135"/>
      <c r="C248" s="96">
        <f>SUM(C250:C251)</f>
        <v>16860</v>
      </c>
      <c r="D248" s="97">
        <f>SUM(D250:D251)</f>
        <v>-4139</v>
      </c>
      <c r="E248" s="96">
        <f>SUM(C248:D248)</f>
        <v>12721</v>
      </c>
      <c r="F248" s="96">
        <f t="shared" ref="F248:L248" si="43">SUM(F250:F251)</f>
        <v>28053</v>
      </c>
      <c r="G248" s="96">
        <f t="shared" si="43"/>
        <v>258</v>
      </c>
      <c r="H248" s="123">
        <f t="shared" si="43"/>
        <v>41416</v>
      </c>
      <c r="I248" s="96">
        <f t="shared" si="43"/>
        <v>0</v>
      </c>
      <c r="J248" s="96">
        <f t="shared" si="43"/>
        <v>-22217</v>
      </c>
      <c r="K248" s="96">
        <f t="shared" si="43"/>
        <v>13585</v>
      </c>
      <c r="L248" s="96">
        <f t="shared" si="43"/>
        <v>0</v>
      </c>
      <c r="M248" s="96">
        <f>SUM(M250:M251)</f>
        <v>1591</v>
      </c>
      <c r="N248" s="124">
        <f t="shared" si="41"/>
        <v>15176</v>
      </c>
    </row>
    <row r="249" spans="1:14" ht="14.25" customHeight="1" x14ac:dyDescent="0.25">
      <c r="A249" s="148" t="s">
        <v>37</v>
      </c>
      <c r="B249" s="149"/>
      <c r="C249" s="58"/>
      <c r="D249" s="103"/>
      <c r="E249" s="58"/>
      <c r="F249" s="58"/>
      <c r="G249" s="58"/>
      <c r="H249" s="150"/>
      <c r="I249" s="58"/>
      <c r="J249" s="58"/>
      <c r="K249" s="58"/>
      <c r="L249" s="58"/>
      <c r="M249" s="58"/>
      <c r="N249" s="48"/>
    </row>
    <row r="250" spans="1:14" ht="16.5" customHeight="1" x14ac:dyDescent="0.25">
      <c r="A250" s="143" t="s">
        <v>275</v>
      </c>
      <c r="B250" s="160"/>
      <c r="C250" s="27">
        <v>0</v>
      </c>
      <c r="D250" s="109">
        <v>0</v>
      </c>
      <c r="E250" s="161">
        <f>SUM(C250:D250)</f>
        <v>0</v>
      </c>
      <c r="F250" s="161">
        <v>0</v>
      </c>
      <c r="G250" s="161">
        <v>0</v>
      </c>
      <c r="H250" s="162">
        <f>SUM(E250:G250)</f>
        <v>0</v>
      </c>
      <c r="I250" s="161">
        <v>0</v>
      </c>
      <c r="J250" s="161">
        <v>0</v>
      </c>
      <c r="K250" s="27">
        <f t="shared" si="42"/>
        <v>0</v>
      </c>
      <c r="L250" s="27">
        <v>0</v>
      </c>
      <c r="M250" s="27">
        <v>0</v>
      </c>
      <c r="N250" s="66">
        <f t="shared" si="41"/>
        <v>0</v>
      </c>
    </row>
    <row r="251" spans="1:14" ht="16.5" customHeight="1" thickBot="1" x14ac:dyDescent="0.3">
      <c r="A251" s="141" t="s">
        <v>276</v>
      </c>
      <c r="B251" s="163"/>
      <c r="C251" s="45">
        <v>16860</v>
      </c>
      <c r="D251" s="46">
        <f>-6757+2325+293</f>
        <v>-4139</v>
      </c>
      <c r="E251" s="134">
        <f>SUM(C251:D251)+254</f>
        <v>12975</v>
      </c>
      <c r="F251" s="134">
        <v>28053</v>
      </c>
      <c r="G251" s="134">
        <f>-407+665</f>
        <v>258</v>
      </c>
      <c r="H251" s="164">
        <f>SUM(E251:G251)+130</f>
        <v>41416</v>
      </c>
      <c r="I251" s="134">
        <v>0</v>
      </c>
      <c r="J251" s="134">
        <f>-1423-20794</f>
        <v>-22217</v>
      </c>
      <c r="K251" s="45">
        <f>SUM(H251:J251)-5614</f>
        <v>13585</v>
      </c>
      <c r="L251" s="45">
        <v>0</v>
      </c>
      <c r="M251" s="45">
        <f>500+1091</f>
        <v>1591</v>
      </c>
      <c r="N251" s="66">
        <f t="shared" si="41"/>
        <v>15176</v>
      </c>
    </row>
    <row r="252" spans="1:14" ht="17.25" customHeight="1" thickBot="1" x14ac:dyDescent="0.3">
      <c r="A252" s="142" t="s">
        <v>277</v>
      </c>
      <c r="B252" s="135"/>
      <c r="C252" s="96">
        <f>SUM(C254:C275)</f>
        <v>16727.21</v>
      </c>
      <c r="D252" s="97">
        <f>SUM(D254:D275)</f>
        <v>0</v>
      </c>
      <c r="E252" s="96">
        <f>SUM(C252:D252)</f>
        <v>16727.21</v>
      </c>
      <c r="F252" s="96">
        <f t="shared" ref="F252:L252" si="44">SUM(F254:F275)</f>
        <v>2023.6799999999998</v>
      </c>
      <c r="G252" s="96">
        <f t="shared" si="44"/>
        <v>92.3</v>
      </c>
      <c r="H252" s="123">
        <f t="shared" si="44"/>
        <v>18912.89</v>
      </c>
      <c r="I252" s="96">
        <f t="shared" si="44"/>
        <v>-200</v>
      </c>
      <c r="J252" s="96">
        <f t="shared" si="44"/>
        <v>1127.7</v>
      </c>
      <c r="K252" s="96">
        <f t="shared" si="44"/>
        <v>19742.989999999998</v>
      </c>
      <c r="L252" s="96">
        <f t="shared" si="44"/>
        <v>90</v>
      </c>
      <c r="M252" s="96">
        <f>SUM(M254:M275)</f>
        <v>189.2</v>
      </c>
      <c r="N252" s="136">
        <f t="shared" si="41"/>
        <v>20022.189999999999</v>
      </c>
    </row>
    <row r="253" spans="1:14" ht="14.25" customHeight="1" x14ac:dyDescent="0.25">
      <c r="A253" s="148" t="s">
        <v>37</v>
      </c>
      <c r="B253" s="149"/>
      <c r="C253" s="58"/>
      <c r="D253" s="103"/>
      <c r="E253" s="58"/>
      <c r="F253" s="58"/>
      <c r="G253" s="58"/>
      <c r="H253" s="150"/>
      <c r="I253" s="58"/>
      <c r="J253" s="58"/>
      <c r="K253" s="58"/>
      <c r="L253" s="58"/>
      <c r="M253" s="58"/>
      <c r="N253" s="48"/>
    </row>
    <row r="254" spans="1:14" ht="27" customHeight="1" x14ac:dyDescent="0.25">
      <c r="A254" s="29" t="s">
        <v>278</v>
      </c>
      <c r="B254" s="151"/>
      <c r="C254" s="31">
        <v>105.93</v>
      </c>
      <c r="D254" s="114">
        <v>0</v>
      </c>
      <c r="E254" s="31">
        <f>SUM(C254:D254)</f>
        <v>105.93</v>
      </c>
      <c r="F254" s="31">
        <v>0</v>
      </c>
      <c r="G254" s="31">
        <v>0</v>
      </c>
      <c r="H254" s="152">
        <f>SUM(E254:G254)</f>
        <v>105.93</v>
      </c>
      <c r="I254" s="31">
        <v>0</v>
      </c>
      <c r="J254" s="31">
        <v>0</v>
      </c>
      <c r="K254" s="31">
        <f t="shared" si="42"/>
        <v>105.93</v>
      </c>
      <c r="L254" s="31">
        <v>0</v>
      </c>
      <c r="M254" s="31">
        <v>0</v>
      </c>
      <c r="N254" s="61">
        <f t="shared" si="41"/>
        <v>105.93</v>
      </c>
    </row>
    <row r="255" spans="1:14" ht="40.5" customHeight="1" x14ac:dyDescent="0.25">
      <c r="A255" s="29" t="s">
        <v>279</v>
      </c>
      <c r="B255" s="144" t="s">
        <v>280</v>
      </c>
      <c r="C255" s="31">
        <v>860</v>
      </c>
      <c r="D255" s="31">
        <v>0</v>
      </c>
      <c r="E255" s="31">
        <f t="shared" ref="E255:E275" si="45">SUM(C255:D255)</f>
        <v>860</v>
      </c>
      <c r="F255" s="31">
        <v>-180</v>
      </c>
      <c r="G255" s="31">
        <v>0</v>
      </c>
      <c r="H255" s="31">
        <f t="shared" ref="H255:H261" si="46">SUM(E255:G255)</f>
        <v>680</v>
      </c>
      <c r="I255" s="31">
        <v>0</v>
      </c>
      <c r="J255" s="31">
        <v>0</v>
      </c>
      <c r="K255" s="31">
        <f t="shared" si="42"/>
        <v>680</v>
      </c>
      <c r="L255" s="31">
        <v>0</v>
      </c>
      <c r="M255" s="31">
        <v>0</v>
      </c>
      <c r="N255" s="32">
        <f t="shared" si="41"/>
        <v>680</v>
      </c>
    </row>
    <row r="256" spans="1:14" ht="29.25" customHeight="1" x14ac:dyDescent="0.25">
      <c r="A256" s="29" t="s">
        <v>281</v>
      </c>
      <c r="B256" s="144" t="s">
        <v>282</v>
      </c>
      <c r="C256" s="31">
        <v>400</v>
      </c>
      <c r="D256" s="31">
        <v>0</v>
      </c>
      <c r="E256" s="31">
        <f t="shared" si="45"/>
        <v>400</v>
      </c>
      <c r="F256" s="31">
        <v>480</v>
      </c>
      <c r="G256" s="31">
        <v>0</v>
      </c>
      <c r="H256" s="31">
        <f t="shared" si="46"/>
        <v>880</v>
      </c>
      <c r="I256" s="31">
        <v>0</v>
      </c>
      <c r="J256" s="31">
        <v>0</v>
      </c>
      <c r="K256" s="31">
        <f t="shared" si="42"/>
        <v>880</v>
      </c>
      <c r="L256" s="31">
        <v>0</v>
      </c>
      <c r="M256" s="31">
        <v>0</v>
      </c>
      <c r="N256" s="32">
        <f t="shared" si="41"/>
        <v>880</v>
      </c>
    </row>
    <row r="257" spans="1:14" ht="27.75" customHeight="1" x14ac:dyDescent="0.25">
      <c r="A257" s="29" t="s">
        <v>283</v>
      </c>
      <c r="B257" s="144" t="s">
        <v>284</v>
      </c>
      <c r="C257" s="31">
        <v>300</v>
      </c>
      <c r="D257" s="31">
        <v>0</v>
      </c>
      <c r="E257" s="31">
        <f t="shared" si="45"/>
        <v>300</v>
      </c>
      <c r="F257" s="31">
        <v>0</v>
      </c>
      <c r="G257" s="31">
        <v>0</v>
      </c>
      <c r="H257" s="31">
        <f t="shared" si="46"/>
        <v>300</v>
      </c>
      <c r="I257" s="31">
        <v>0</v>
      </c>
      <c r="J257" s="31">
        <v>0</v>
      </c>
      <c r="K257" s="31">
        <f t="shared" si="42"/>
        <v>300</v>
      </c>
      <c r="L257" s="31">
        <v>0</v>
      </c>
      <c r="M257" s="31">
        <v>0</v>
      </c>
      <c r="N257" s="32">
        <f t="shared" si="41"/>
        <v>300</v>
      </c>
    </row>
    <row r="258" spans="1:14" ht="18" customHeight="1" x14ac:dyDescent="0.25">
      <c r="A258" s="29" t="s">
        <v>285</v>
      </c>
      <c r="B258" s="144" t="s">
        <v>84</v>
      </c>
      <c r="C258" s="31">
        <v>6732</v>
      </c>
      <c r="D258" s="31">
        <v>0</v>
      </c>
      <c r="E258" s="31">
        <f t="shared" si="45"/>
        <v>6732</v>
      </c>
      <c r="F258" s="31">
        <v>0</v>
      </c>
      <c r="G258" s="31">
        <v>0</v>
      </c>
      <c r="H258" s="31">
        <f t="shared" si="46"/>
        <v>6732</v>
      </c>
      <c r="I258" s="31">
        <v>0</v>
      </c>
      <c r="J258" s="31">
        <v>0</v>
      </c>
      <c r="K258" s="31">
        <f t="shared" si="42"/>
        <v>6732</v>
      </c>
      <c r="L258" s="31">
        <v>0</v>
      </c>
      <c r="M258" s="31">
        <v>0</v>
      </c>
      <c r="N258" s="32">
        <f t="shared" si="41"/>
        <v>6732</v>
      </c>
    </row>
    <row r="259" spans="1:14" ht="18" customHeight="1" x14ac:dyDescent="0.25">
      <c r="A259" s="29" t="s">
        <v>286</v>
      </c>
      <c r="B259" s="144" t="s">
        <v>84</v>
      </c>
      <c r="C259" s="31">
        <v>0</v>
      </c>
      <c r="D259" s="31"/>
      <c r="E259" s="31"/>
      <c r="F259" s="31"/>
      <c r="G259" s="31"/>
      <c r="H259" s="31"/>
      <c r="I259" s="31"/>
      <c r="J259" s="31"/>
      <c r="K259" s="31">
        <v>0</v>
      </c>
      <c r="L259" s="31">
        <v>0</v>
      </c>
      <c r="M259" s="31">
        <f>150</f>
        <v>150</v>
      </c>
      <c r="N259" s="32">
        <f>SUM(K259:M259)</f>
        <v>150</v>
      </c>
    </row>
    <row r="260" spans="1:14" ht="18" customHeight="1" x14ac:dyDescent="0.25">
      <c r="A260" s="29" t="s">
        <v>287</v>
      </c>
      <c r="B260" s="144" t="s">
        <v>41</v>
      </c>
      <c r="C260" s="31">
        <v>0</v>
      </c>
      <c r="D260" s="31"/>
      <c r="E260" s="31"/>
      <c r="F260" s="31"/>
      <c r="G260" s="31"/>
      <c r="H260" s="31">
        <v>0</v>
      </c>
      <c r="I260" s="31">
        <v>0</v>
      </c>
      <c r="J260" s="31">
        <f>40</f>
        <v>40</v>
      </c>
      <c r="K260" s="31">
        <f>SUM(H260:J260)</f>
        <v>40</v>
      </c>
      <c r="L260" s="31">
        <v>0</v>
      </c>
      <c r="M260" s="31">
        <v>0</v>
      </c>
      <c r="N260" s="32">
        <f t="shared" si="41"/>
        <v>40</v>
      </c>
    </row>
    <row r="261" spans="1:14" ht="29.25" customHeight="1" x14ac:dyDescent="0.25">
      <c r="A261" s="29" t="s">
        <v>288</v>
      </c>
      <c r="B261" s="144" t="s">
        <v>84</v>
      </c>
      <c r="C261" s="31">
        <v>550</v>
      </c>
      <c r="D261" s="31">
        <v>0</v>
      </c>
      <c r="E261" s="31">
        <f t="shared" si="45"/>
        <v>550</v>
      </c>
      <c r="F261" s="31">
        <v>0</v>
      </c>
      <c r="G261" s="31">
        <v>0</v>
      </c>
      <c r="H261" s="31">
        <f t="shared" si="46"/>
        <v>550</v>
      </c>
      <c r="I261" s="31">
        <v>0</v>
      </c>
      <c r="J261" s="31">
        <v>0</v>
      </c>
      <c r="K261" s="31">
        <f t="shared" si="42"/>
        <v>550</v>
      </c>
      <c r="L261" s="31">
        <v>0</v>
      </c>
      <c r="M261" s="31">
        <v>0</v>
      </c>
      <c r="N261" s="32">
        <f t="shared" si="41"/>
        <v>550</v>
      </c>
    </row>
    <row r="262" spans="1:14" ht="29.25" customHeight="1" x14ac:dyDescent="0.25">
      <c r="A262" s="29" t="s">
        <v>289</v>
      </c>
      <c r="B262" s="144"/>
      <c r="C262" s="31">
        <v>240</v>
      </c>
      <c r="D262" s="31">
        <v>0</v>
      </c>
      <c r="E262" s="31">
        <f t="shared" si="45"/>
        <v>240</v>
      </c>
      <c r="F262" s="31">
        <v>0</v>
      </c>
      <c r="G262" s="31">
        <v>0</v>
      </c>
      <c r="H262" s="31">
        <f>SUM(E262:G262)</f>
        <v>240</v>
      </c>
      <c r="I262" s="31">
        <v>0</v>
      </c>
      <c r="J262" s="31">
        <v>0</v>
      </c>
      <c r="K262" s="31">
        <f t="shared" si="42"/>
        <v>240</v>
      </c>
      <c r="L262" s="31">
        <v>0</v>
      </c>
      <c r="M262" s="31">
        <v>0</v>
      </c>
      <c r="N262" s="32">
        <f t="shared" si="41"/>
        <v>240</v>
      </c>
    </row>
    <row r="263" spans="1:14" ht="17.25" customHeight="1" x14ac:dyDescent="0.25">
      <c r="A263" s="140" t="s">
        <v>290</v>
      </c>
      <c r="B263" s="144" t="s">
        <v>291</v>
      </c>
      <c r="C263" s="31">
        <v>400</v>
      </c>
      <c r="D263" s="31">
        <v>0</v>
      </c>
      <c r="E263" s="31">
        <f t="shared" si="45"/>
        <v>400</v>
      </c>
      <c r="F263" s="31">
        <v>0</v>
      </c>
      <c r="G263" s="31">
        <v>0</v>
      </c>
      <c r="H263" s="31">
        <f t="shared" ref="H263:H270" si="47">SUM(E263:G263)</f>
        <v>400</v>
      </c>
      <c r="I263" s="31">
        <v>0</v>
      </c>
      <c r="J263" s="31">
        <v>0</v>
      </c>
      <c r="K263" s="31">
        <f t="shared" si="42"/>
        <v>400</v>
      </c>
      <c r="L263" s="31">
        <v>0</v>
      </c>
      <c r="M263" s="31">
        <v>0</v>
      </c>
      <c r="N263" s="32">
        <f t="shared" si="41"/>
        <v>400</v>
      </c>
    </row>
    <row r="264" spans="1:14" ht="26.25" customHeight="1" x14ac:dyDescent="0.25">
      <c r="A264" s="29" t="s">
        <v>292</v>
      </c>
      <c r="B264" s="144"/>
      <c r="C264" s="31">
        <v>5</v>
      </c>
      <c r="D264" s="31">
        <v>0</v>
      </c>
      <c r="E264" s="31">
        <f t="shared" si="45"/>
        <v>5</v>
      </c>
      <c r="F264" s="31">
        <v>0</v>
      </c>
      <c r="G264" s="31">
        <v>0</v>
      </c>
      <c r="H264" s="31">
        <f t="shared" si="47"/>
        <v>5</v>
      </c>
      <c r="I264" s="31">
        <v>0</v>
      </c>
      <c r="J264" s="31">
        <v>0</v>
      </c>
      <c r="K264" s="31">
        <f t="shared" si="42"/>
        <v>5</v>
      </c>
      <c r="L264" s="31">
        <v>0</v>
      </c>
      <c r="M264" s="31">
        <v>0</v>
      </c>
      <c r="N264" s="32">
        <f t="shared" si="41"/>
        <v>5</v>
      </c>
    </row>
    <row r="265" spans="1:14" ht="24.75" customHeight="1" x14ac:dyDescent="0.25">
      <c r="A265" s="29" t="s">
        <v>293</v>
      </c>
      <c r="B265" s="144"/>
      <c r="C265" s="31">
        <v>70</v>
      </c>
      <c r="D265" s="31">
        <v>0</v>
      </c>
      <c r="E265" s="31">
        <f t="shared" si="45"/>
        <v>70</v>
      </c>
      <c r="F265" s="31">
        <v>0</v>
      </c>
      <c r="G265" s="31">
        <v>0</v>
      </c>
      <c r="H265" s="31">
        <f t="shared" si="47"/>
        <v>70</v>
      </c>
      <c r="I265" s="31">
        <v>0</v>
      </c>
      <c r="J265" s="31">
        <v>0</v>
      </c>
      <c r="K265" s="31">
        <f t="shared" si="42"/>
        <v>70</v>
      </c>
      <c r="L265" s="31">
        <v>0</v>
      </c>
      <c r="M265" s="31">
        <v>0</v>
      </c>
      <c r="N265" s="32">
        <f t="shared" si="41"/>
        <v>70</v>
      </c>
    </row>
    <row r="266" spans="1:14" ht="17.25" customHeight="1" x14ac:dyDescent="0.25">
      <c r="A266" s="140" t="s">
        <v>294</v>
      </c>
      <c r="B266" s="144"/>
      <c r="C266" s="31">
        <v>300</v>
      </c>
      <c r="D266" s="31">
        <v>0</v>
      </c>
      <c r="E266" s="31">
        <f t="shared" si="45"/>
        <v>300</v>
      </c>
      <c r="F266" s="31">
        <v>0</v>
      </c>
      <c r="G266" s="31">
        <v>0</v>
      </c>
      <c r="H266" s="31">
        <f t="shared" si="47"/>
        <v>300</v>
      </c>
      <c r="I266" s="31">
        <v>0</v>
      </c>
      <c r="J266" s="31">
        <v>0</v>
      </c>
      <c r="K266" s="31">
        <f t="shared" si="42"/>
        <v>300</v>
      </c>
      <c r="L266" s="31">
        <v>0</v>
      </c>
      <c r="M266" s="31">
        <v>0</v>
      </c>
      <c r="N266" s="32">
        <f t="shared" si="41"/>
        <v>300</v>
      </c>
    </row>
    <row r="267" spans="1:14" ht="15.75" customHeight="1" x14ac:dyDescent="0.25">
      <c r="A267" s="140" t="s">
        <v>295</v>
      </c>
      <c r="B267" s="144"/>
      <c r="C267" s="31">
        <v>2</v>
      </c>
      <c r="D267" s="31">
        <v>0</v>
      </c>
      <c r="E267" s="31">
        <f t="shared" si="45"/>
        <v>2</v>
      </c>
      <c r="F267" s="31">
        <v>0</v>
      </c>
      <c r="G267" s="31">
        <v>0</v>
      </c>
      <c r="H267" s="31">
        <f t="shared" si="47"/>
        <v>2</v>
      </c>
      <c r="I267" s="31">
        <v>0</v>
      </c>
      <c r="J267" s="31">
        <v>0</v>
      </c>
      <c r="K267" s="31">
        <f t="shared" si="42"/>
        <v>2</v>
      </c>
      <c r="L267" s="31">
        <v>0</v>
      </c>
      <c r="M267" s="31">
        <v>0</v>
      </c>
      <c r="N267" s="32">
        <f t="shared" si="41"/>
        <v>2</v>
      </c>
    </row>
    <row r="268" spans="1:14" ht="18" customHeight="1" x14ac:dyDescent="0.25">
      <c r="A268" s="140" t="s">
        <v>296</v>
      </c>
      <c r="B268" s="144"/>
      <c r="C268" s="31">
        <v>188</v>
      </c>
      <c r="D268" s="31">
        <v>0</v>
      </c>
      <c r="E268" s="31">
        <f t="shared" si="45"/>
        <v>188</v>
      </c>
      <c r="F268" s="31">
        <v>0</v>
      </c>
      <c r="G268" s="31">
        <v>0</v>
      </c>
      <c r="H268" s="31">
        <f t="shared" si="47"/>
        <v>188</v>
      </c>
      <c r="I268" s="31">
        <v>0</v>
      </c>
      <c r="J268" s="31">
        <v>0</v>
      </c>
      <c r="K268" s="31">
        <f t="shared" si="42"/>
        <v>188</v>
      </c>
      <c r="L268" s="31">
        <v>0</v>
      </c>
      <c r="M268" s="31">
        <v>0</v>
      </c>
      <c r="N268" s="32">
        <f t="shared" si="41"/>
        <v>188</v>
      </c>
    </row>
    <row r="269" spans="1:14" ht="16.5" customHeight="1" x14ac:dyDescent="0.25">
      <c r="A269" s="140" t="s">
        <v>297</v>
      </c>
      <c r="B269" s="144"/>
      <c r="C269" s="31">
        <v>15</v>
      </c>
      <c r="D269" s="31">
        <v>0</v>
      </c>
      <c r="E269" s="31">
        <f t="shared" si="45"/>
        <v>15</v>
      </c>
      <c r="F269" s="31">
        <v>0</v>
      </c>
      <c r="G269" s="31">
        <v>0</v>
      </c>
      <c r="H269" s="31">
        <f t="shared" si="47"/>
        <v>15</v>
      </c>
      <c r="I269" s="31">
        <v>0</v>
      </c>
      <c r="J269" s="31">
        <v>0</v>
      </c>
      <c r="K269" s="31">
        <f t="shared" si="42"/>
        <v>15</v>
      </c>
      <c r="L269" s="31">
        <v>0</v>
      </c>
      <c r="M269" s="31">
        <v>0</v>
      </c>
      <c r="N269" s="32">
        <f t="shared" si="41"/>
        <v>15</v>
      </c>
    </row>
    <row r="270" spans="1:14" ht="17.25" customHeight="1" x14ac:dyDescent="0.25">
      <c r="A270" s="29" t="s">
        <v>298</v>
      </c>
      <c r="B270" s="144"/>
      <c r="C270" s="31">
        <v>500</v>
      </c>
      <c r="D270" s="31">
        <v>0</v>
      </c>
      <c r="E270" s="31">
        <f t="shared" si="45"/>
        <v>500</v>
      </c>
      <c r="F270" s="31">
        <v>700</v>
      </c>
      <c r="G270" s="31">
        <v>0</v>
      </c>
      <c r="H270" s="31">
        <f t="shared" si="47"/>
        <v>1200</v>
      </c>
      <c r="I270" s="31">
        <v>-200</v>
      </c>
      <c r="J270" s="31">
        <v>0</v>
      </c>
      <c r="K270" s="31">
        <f t="shared" si="42"/>
        <v>1000</v>
      </c>
      <c r="L270" s="31">
        <v>0</v>
      </c>
      <c r="M270" s="31">
        <v>0</v>
      </c>
      <c r="N270" s="32">
        <f t="shared" si="41"/>
        <v>1000</v>
      </c>
    </row>
    <row r="271" spans="1:14" ht="42" customHeight="1" x14ac:dyDescent="0.25">
      <c r="A271" s="29" t="s">
        <v>299</v>
      </c>
      <c r="B271" s="144"/>
      <c r="C271" s="31">
        <v>0</v>
      </c>
      <c r="D271" s="31"/>
      <c r="E271" s="31"/>
      <c r="F271" s="31"/>
      <c r="G271" s="31"/>
      <c r="H271" s="31">
        <v>0</v>
      </c>
      <c r="I271" s="31">
        <v>0</v>
      </c>
      <c r="J271" s="31">
        <f>181</f>
        <v>181</v>
      </c>
      <c r="K271" s="31">
        <f>SUM(H271:J271)</f>
        <v>181</v>
      </c>
      <c r="L271" s="31">
        <v>0</v>
      </c>
      <c r="M271" s="31">
        <v>0</v>
      </c>
      <c r="N271" s="32">
        <f t="shared" si="41"/>
        <v>181</v>
      </c>
    </row>
    <row r="272" spans="1:14" ht="31.5" customHeight="1" x14ac:dyDescent="0.25">
      <c r="A272" s="29" t="s">
        <v>300</v>
      </c>
      <c r="B272" s="144"/>
      <c r="C272" s="31">
        <v>0</v>
      </c>
      <c r="D272" s="31"/>
      <c r="E272" s="31"/>
      <c r="F272" s="31"/>
      <c r="G272" s="31"/>
      <c r="H272" s="31">
        <v>0</v>
      </c>
      <c r="I272" s="31">
        <v>0</v>
      </c>
      <c r="J272" s="31">
        <f>233</f>
        <v>233</v>
      </c>
      <c r="K272" s="31">
        <f>SUM(H272:J272)</f>
        <v>233</v>
      </c>
      <c r="L272" s="31">
        <v>0</v>
      </c>
      <c r="M272" s="31">
        <v>0</v>
      </c>
      <c r="N272" s="32">
        <f t="shared" si="41"/>
        <v>233</v>
      </c>
    </row>
    <row r="273" spans="1:14" ht="31.5" customHeight="1" x14ac:dyDescent="0.25">
      <c r="A273" s="29" t="s">
        <v>301</v>
      </c>
      <c r="B273" s="144"/>
      <c r="C273" s="31">
        <v>0</v>
      </c>
      <c r="D273" s="31"/>
      <c r="E273" s="31"/>
      <c r="F273" s="31"/>
      <c r="G273" s="31"/>
      <c r="H273" s="31">
        <v>0</v>
      </c>
      <c r="I273" s="31">
        <v>0</v>
      </c>
      <c r="J273" s="31">
        <f>161</f>
        <v>161</v>
      </c>
      <c r="K273" s="31">
        <f>SUM(H273:J273)</f>
        <v>161</v>
      </c>
      <c r="L273" s="31">
        <v>0</v>
      </c>
      <c r="M273" s="31">
        <v>0</v>
      </c>
      <c r="N273" s="32">
        <f t="shared" si="41"/>
        <v>161</v>
      </c>
    </row>
    <row r="274" spans="1:14" ht="31.5" customHeight="1" x14ac:dyDescent="0.25">
      <c r="A274" s="29" t="s">
        <v>302</v>
      </c>
      <c r="B274" s="144"/>
      <c r="C274" s="31">
        <v>0</v>
      </c>
      <c r="D274" s="31"/>
      <c r="E274" s="31"/>
      <c r="F274" s="31"/>
      <c r="G274" s="31"/>
      <c r="H274" s="31">
        <v>0</v>
      </c>
      <c r="I274" s="31">
        <v>0</v>
      </c>
      <c r="J274" s="31">
        <f>65</f>
        <v>65</v>
      </c>
      <c r="K274" s="31">
        <f>SUM(H274:J274)</f>
        <v>65</v>
      </c>
      <c r="L274" s="31">
        <v>0</v>
      </c>
      <c r="M274" s="31">
        <v>0</v>
      </c>
      <c r="N274" s="32">
        <f t="shared" si="41"/>
        <v>65</v>
      </c>
    </row>
    <row r="275" spans="1:14" ht="30.75" customHeight="1" thickBot="1" x14ac:dyDescent="0.3">
      <c r="A275" s="43" t="s">
        <v>303</v>
      </c>
      <c r="B275" s="163"/>
      <c r="C275" s="45">
        <v>6059.28</v>
      </c>
      <c r="D275" s="46">
        <v>0</v>
      </c>
      <c r="E275" s="45">
        <f t="shared" si="45"/>
        <v>6059.28</v>
      </c>
      <c r="F275" s="45">
        <v>1023.68</v>
      </c>
      <c r="G275" s="45">
        <f>-27+119.3</f>
        <v>92.3</v>
      </c>
      <c r="H275" s="47">
        <f>SUM(E275:G275)+69.7</f>
        <v>7244.96</v>
      </c>
      <c r="I275" s="45">
        <v>0</v>
      </c>
      <c r="J275" s="45">
        <f>326.7+121</f>
        <v>447.7</v>
      </c>
      <c r="K275" s="45">
        <f>SUM(H275:J275)+204.9-302.5</f>
        <v>7595.0599999999995</v>
      </c>
      <c r="L275" s="45">
        <f>90</f>
        <v>90</v>
      </c>
      <c r="M275" s="45">
        <f>-110.59+154.39-4.6</f>
        <v>39.199999999999982</v>
      </c>
      <c r="N275" s="66">
        <f t="shared" si="41"/>
        <v>7724.2599999999993</v>
      </c>
    </row>
    <row r="276" spans="1:14" ht="15.75" customHeight="1" thickBot="1" x14ac:dyDescent="0.3">
      <c r="A276" s="142" t="s">
        <v>304</v>
      </c>
      <c r="B276" s="135"/>
      <c r="C276" s="96">
        <f>SUM(C278:C280)</f>
        <v>51889</v>
      </c>
      <c r="D276" s="97">
        <f>SUM(D278:D280)</f>
        <v>0</v>
      </c>
      <c r="E276" s="96">
        <f>SUM(C276:D276)</f>
        <v>51889</v>
      </c>
      <c r="F276" s="96">
        <f t="shared" ref="F276:L276" si="48">SUM(F278:F280)</f>
        <v>0</v>
      </c>
      <c r="G276" s="96">
        <f t="shared" si="48"/>
        <v>0</v>
      </c>
      <c r="H276" s="123">
        <f t="shared" si="48"/>
        <v>51889</v>
      </c>
      <c r="I276" s="96">
        <f t="shared" si="48"/>
        <v>0</v>
      </c>
      <c r="J276" s="96">
        <f t="shared" si="48"/>
        <v>0</v>
      </c>
      <c r="K276" s="96">
        <f t="shared" si="48"/>
        <v>51889</v>
      </c>
      <c r="L276" s="96">
        <f t="shared" si="48"/>
        <v>0</v>
      </c>
      <c r="M276" s="96">
        <f>SUM(M278:M280)</f>
        <v>0</v>
      </c>
      <c r="N276" s="136">
        <f t="shared" si="41"/>
        <v>51889</v>
      </c>
    </row>
    <row r="277" spans="1:14" ht="15.75" customHeight="1" x14ac:dyDescent="0.25">
      <c r="A277" s="141" t="s">
        <v>37</v>
      </c>
      <c r="B277" s="163"/>
      <c r="C277" s="45"/>
      <c r="D277" s="46"/>
      <c r="E277" s="45"/>
      <c r="F277" s="45"/>
      <c r="G277" s="45"/>
      <c r="H277" s="47"/>
      <c r="I277" s="45"/>
      <c r="J277" s="45"/>
      <c r="K277" s="45"/>
      <c r="L277" s="45"/>
      <c r="M277" s="45"/>
      <c r="N277" s="165"/>
    </row>
    <row r="278" spans="1:14" ht="18.75" customHeight="1" x14ac:dyDescent="0.25">
      <c r="A278" s="140" t="s">
        <v>305</v>
      </c>
      <c r="B278" s="116"/>
      <c r="C278" s="31">
        <v>0</v>
      </c>
      <c r="D278" s="31">
        <v>0</v>
      </c>
      <c r="E278" s="62">
        <f>SUM(C278:D278)</f>
        <v>0</v>
      </c>
      <c r="F278" s="62">
        <v>0</v>
      </c>
      <c r="G278" s="62">
        <v>0</v>
      </c>
      <c r="H278" s="62">
        <f>SUM(E278:G278)</f>
        <v>0</v>
      </c>
      <c r="I278" s="62">
        <v>0</v>
      </c>
      <c r="J278" s="62">
        <v>0</v>
      </c>
      <c r="K278" s="31">
        <f t="shared" si="42"/>
        <v>0</v>
      </c>
      <c r="L278" s="31">
        <v>0</v>
      </c>
      <c r="M278" s="31">
        <v>0</v>
      </c>
      <c r="N278" s="32">
        <f t="shared" si="41"/>
        <v>0</v>
      </c>
    </row>
    <row r="279" spans="1:14" ht="18" customHeight="1" x14ac:dyDescent="0.25">
      <c r="A279" s="140" t="s">
        <v>77</v>
      </c>
      <c r="B279" s="116"/>
      <c r="C279" s="31">
        <v>250</v>
      </c>
      <c r="D279" s="31">
        <v>0</v>
      </c>
      <c r="E279" s="62">
        <f t="shared" ref="E279:E280" si="49">SUM(C279:D279)</f>
        <v>250</v>
      </c>
      <c r="F279" s="62">
        <v>0</v>
      </c>
      <c r="G279" s="62">
        <v>0</v>
      </c>
      <c r="H279" s="62">
        <f t="shared" ref="H279:H280" si="50">SUM(E279:G279)</f>
        <v>250</v>
      </c>
      <c r="I279" s="62">
        <v>0</v>
      </c>
      <c r="J279" s="62">
        <v>0</v>
      </c>
      <c r="K279" s="31">
        <f t="shared" si="42"/>
        <v>250</v>
      </c>
      <c r="L279" s="31">
        <v>0</v>
      </c>
      <c r="M279" s="31">
        <v>0</v>
      </c>
      <c r="N279" s="32">
        <f t="shared" ref="N279:N342" si="51">SUM(K279:M279)</f>
        <v>250</v>
      </c>
    </row>
    <row r="280" spans="1:14" ht="18" customHeight="1" thickBot="1" x14ac:dyDescent="0.3">
      <c r="A280" s="147" t="s">
        <v>306</v>
      </c>
      <c r="B280" s="119"/>
      <c r="C280" s="35">
        <v>51639</v>
      </c>
      <c r="D280" s="35">
        <v>0</v>
      </c>
      <c r="E280" s="120">
        <f t="shared" si="49"/>
        <v>51639</v>
      </c>
      <c r="F280" s="120">
        <v>0</v>
      </c>
      <c r="G280" s="120">
        <v>0</v>
      </c>
      <c r="H280" s="120">
        <f t="shared" si="50"/>
        <v>51639</v>
      </c>
      <c r="I280" s="120">
        <v>0</v>
      </c>
      <c r="J280" s="120">
        <v>0</v>
      </c>
      <c r="K280" s="35">
        <f t="shared" si="42"/>
        <v>51639</v>
      </c>
      <c r="L280" s="35">
        <v>0</v>
      </c>
      <c r="M280" s="35">
        <v>0</v>
      </c>
      <c r="N280" s="36">
        <f t="shared" si="51"/>
        <v>51639</v>
      </c>
    </row>
    <row r="281" spans="1:14" ht="16.5" customHeight="1" thickBot="1" x14ac:dyDescent="0.3">
      <c r="A281" s="142" t="s">
        <v>307</v>
      </c>
      <c r="B281" s="135"/>
      <c r="C281" s="96">
        <f>SUM(C283:C285)</f>
        <v>15232</v>
      </c>
      <c r="D281" s="97">
        <f>SUM(D283:D285)</f>
        <v>595</v>
      </c>
      <c r="E281" s="96">
        <f>SUM(C281:D281)</f>
        <v>15827</v>
      </c>
      <c r="F281" s="96">
        <f t="shared" ref="F281:L281" si="52">SUM(F283:F285)</f>
        <v>1028</v>
      </c>
      <c r="G281" s="96">
        <f t="shared" si="52"/>
        <v>169.99</v>
      </c>
      <c r="H281" s="123">
        <f t="shared" si="52"/>
        <v>17024.990000000002</v>
      </c>
      <c r="I281" s="96">
        <f t="shared" si="52"/>
        <v>0</v>
      </c>
      <c r="J281" s="96">
        <f t="shared" si="52"/>
        <v>16.700000000000003</v>
      </c>
      <c r="K281" s="96">
        <f t="shared" si="52"/>
        <v>18131.690000000002</v>
      </c>
      <c r="L281" s="96">
        <f t="shared" si="52"/>
        <v>0</v>
      </c>
      <c r="M281" s="96">
        <f>SUM(M283:M285)</f>
        <v>149</v>
      </c>
      <c r="N281" s="124">
        <f t="shared" si="51"/>
        <v>18280.690000000002</v>
      </c>
    </row>
    <row r="282" spans="1:14" ht="14.25" customHeight="1" x14ac:dyDescent="0.25">
      <c r="A282" s="141" t="s">
        <v>37</v>
      </c>
      <c r="B282" s="163"/>
      <c r="C282" s="45"/>
      <c r="D282" s="46"/>
      <c r="E282" s="45"/>
      <c r="F282" s="45"/>
      <c r="G282" s="45"/>
      <c r="H282" s="47"/>
      <c r="I282" s="45"/>
      <c r="J282" s="45"/>
      <c r="K282" s="45"/>
      <c r="L282" s="45"/>
      <c r="M282" s="45"/>
      <c r="N282" s="165"/>
    </row>
    <row r="283" spans="1:14" ht="24.75" customHeight="1" x14ac:dyDescent="0.25">
      <c r="A283" s="29" t="s">
        <v>308</v>
      </c>
      <c r="B283" s="116"/>
      <c r="C283" s="31">
        <v>0</v>
      </c>
      <c r="D283" s="31">
        <v>0</v>
      </c>
      <c r="E283" s="31">
        <f>SUM(C283:D283)</f>
        <v>0</v>
      </c>
      <c r="F283" s="31">
        <v>0</v>
      </c>
      <c r="G283" s="31">
        <f>72.6</f>
        <v>72.599999999999994</v>
      </c>
      <c r="H283" s="31">
        <f>SUM(E283:G283)</f>
        <v>72.599999999999994</v>
      </c>
      <c r="I283" s="31">
        <v>0</v>
      </c>
      <c r="J283" s="31">
        <v>0</v>
      </c>
      <c r="K283" s="31">
        <f>SUM(H283:J283)</f>
        <v>72.599999999999994</v>
      </c>
      <c r="L283" s="31">
        <v>0</v>
      </c>
      <c r="M283" s="31">
        <v>0</v>
      </c>
      <c r="N283" s="32">
        <f t="shared" si="51"/>
        <v>72.599999999999994</v>
      </c>
    </row>
    <row r="284" spans="1:14" ht="13.5" customHeight="1" x14ac:dyDescent="0.25">
      <c r="A284" s="29" t="s">
        <v>77</v>
      </c>
      <c r="B284" s="116"/>
      <c r="C284" s="31">
        <v>200</v>
      </c>
      <c r="D284" s="31">
        <v>0</v>
      </c>
      <c r="E284" s="31">
        <f t="shared" ref="E284:E285" si="53">SUM(C284:D284)</f>
        <v>200</v>
      </c>
      <c r="F284" s="31">
        <v>0</v>
      </c>
      <c r="G284" s="31">
        <f>2.39</f>
        <v>2.39</v>
      </c>
      <c r="H284" s="31">
        <f t="shared" ref="H284:H285" si="54">SUM(E284:G284)</f>
        <v>202.39</v>
      </c>
      <c r="I284" s="31">
        <v>0</v>
      </c>
      <c r="J284" s="31">
        <v>0</v>
      </c>
      <c r="K284" s="31">
        <f t="shared" si="42"/>
        <v>202.39</v>
      </c>
      <c r="L284" s="31">
        <v>0</v>
      </c>
      <c r="M284" s="31">
        <v>0</v>
      </c>
      <c r="N284" s="32">
        <f t="shared" si="51"/>
        <v>202.39</v>
      </c>
    </row>
    <row r="285" spans="1:14" ht="17.25" customHeight="1" thickBot="1" x14ac:dyDescent="0.3">
      <c r="A285" s="33" t="s">
        <v>309</v>
      </c>
      <c r="B285" s="119"/>
      <c r="C285" s="35">
        <v>15032</v>
      </c>
      <c r="D285" s="35">
        <f>-205+800</f>
        <v>595</v>
      </c>
      <c r="E285" s="35">
        <f t="shared" si="53"/>
        <v>15627</v>
      </c>
      <c r="F285" s="35">
        <v>1028</v>
      </c>
      <c r="G285" s="35">
        <f>-54+149</f>
        <v>95</v>
      </c>
      <c r="H285" s="35">
        <f t="shared" si="54"/>
        <v>16750</v>
      </c>
      <c r="I285" s="35">
        <v>0</v>
      </c>
      <c r="J285" s="35">
        <f>-54.3+21+50</f>
        <v>16.700000000000003</v>
      </c>
      <c r="K285" s="35">
        <f>SUM(H285:J285)+1090</f>
        <v>17856.7</v>
      </c>
      <c r="L285" s="35">
        <v>0</v>
      </c>
      <c r="M285" s="35">
        <f>149</f>
        <v>149</v>
      </c>
      <c r="N285" s="36">
        <f t="shared" si="51"/>
        <v>18005.7</v>
      </c>
    </row>
    <row r="286" spans="1:14" ht="15.75" customHeight="1" thickBot="1" x14ac:dyDescent="0.3">
      <c r="A286" s="166" t="s">
        <v>310</v>
      </c>
      <c r="B286" s="135"/>
      <c r="C286" s="96">
        <f>SUM(C288:C298)</f>
        <v>6785</v>
      </c>
      <c r="D286" s="97">
        <f>SUM(D288:D298)</f>
        <v>0</v>
      </c>
      <c r="E286" s="96">
        <f>SUM(C286:D286)</f>
        <v>6785</v>
      </c>
      <c r="F286" s="96">
        <f t="shared" ref="F286:L286" si="55">SUM(F288:F298)</f>
        <v>9000</v>
      </c>
      <c r="G286" s="96">
        <f t="shared" si="55"/>
        <v>1205.45</v>
      </c>
      <c r="H286" s="123">
        <f t="shared" si="55"/>
        <v>17040.45</v>
      </c>
      <c r="I286" s="96">
        <f t="shared" si="55"/>
        <v>-530</v>
      </c>
      <c r="J286" s="96">
        <f t="shared" si="55"/>
        <v>6163.06</v>
      </c>
      <c r="K286" s="96">
        <f t="shared" si="55"/>
        <v>23320.409999999996</v>
      </c>
      <c r="L286" s="96">
        <f t="shared" si="55"/>
        <v>-3057.4</v>
      </c>
      <c r="M286" s="96">
        <f>SUM(M288:M298)</f>
        <v>1025.1500000000001</v>
      </c>
      <c r="N286" s="124">
        <f t="shared" si="51"/>
        <v>21288.159999999996</v>
      </c>
    </row>
    <row r="287" spans="1:14" ht="16.5" customHeight="1" x14ac:dyDescent="0.25">
      <c r="A287" s="148" t="s">
        <v>37</v>
      </c>
      <c r="B287" s="149"/>
      <c r="C287" s="58"/>
      <c r="D287" s="103"/>
      <c r="E287" s="58"/>
      <c r="F287" s="58"/>
      <c r="G287" s="58"/>
      <c r="H287" s="150"/>
      <c r="I287" s="58"/>
      <c r="J287" s="58"/>
      <c r="K287" s="58"/>
      <c r="L287" s="58"/>
      <c r="M287" s="58"/>
      <c r="N287" s="48"/>
    </row>
    <row r="288" spans="1:14" ht="27" customHeight="1" x14ac:dyDescent="0.25">
      <c r="A288" s="29" t="s">
        <v>311</v>
      </c>
      <c r="B288" s="116"/>
      <c r="C288" s="31">
        <v>0</v>
      </c>
      <c r="D288" s="31">
        <v>0</v>
      </c>
      <c r="E288" s="31">
        <f>SUM(C288:D288)</f>
        <v>0</v>
      </c>
      <c r="F288" s="31">
        <v>0</v>
      </c>
      <c r="G288" s="31">
        <f>1253.45</f>
        <v>1253.45</v>
      </c>
      <c r="H288" s="31">
        <f>SUM(E288:G288)+50</f>
        <v>1303.45</v>
      </c>
      <c r="I288" s="31">
        <v>0</v>
      </c>
      <c r="J288" s="31">
        <f>4093.05+1654.45</f>
        <v>5747.5</v>
      </c>
      <c r="K288" s="31">
        <f>SUM(H288:J288)+2528.1-1881.2</f>
        <v>7697.8499999999995</v>
      </c>
      <c r="L288" s="31">
        <v>0</v>
      </c>
      <c r="M288" s="31">
        <f>1003.35+86.8</f>
        <v>1090.1500000000001</v>
      </c>
      <c r="N288" s="32">
        <f t="shared" si="51"/>
        <v>8788</v>
      </c>
    </row>
    <row r="289" spans="1:14" ht="27" customHeight="1" x14ac:dyDescent="0.25">
      <c r="A289" s="29" t="s">
        <v>312</v>
      </c>
      <c r="B289" s="116"/>
      <c r="C289" s="31">
        <v>0</v>
      </c>
      <c r="D289" s="31"/>
      <c r="E289" s="31"/>
      <c r="F289" s="31"/>
      <c r="G289" s="31"/>
      <c r="H289" s="31"/>
      <c r="I289" s="31"/>
      <c r="J289" s="31"/>
      <c r="K289" s="31">
        <v>0</v>
      </c>
      <c r="L289" s="31">
        <f>209.6</f>
        <v>209.6</v>
      </c>
      <c r="M289" s="31">
        <v>0</v>
      </c>
      <c r="N289" s="32">
        <f t="shared" si="51"/>
        <v>209.6</v>
      </c>
    </row>
    <row r="290" spans="1:14" ht="15" customHeight="1" x14ac:dyDescent="0.25">
      <c r="A290" s="140" t="s">
        <v>77</v>
      </c>
      <c r="B290" s="116"/>
      <c r="C290" s="31">
        <v>370</v>
      </c>
      <c r="D290" s="31">
        <v>0</v>
      </c>
      <c r="E290" s="31">
        <f t="shared" ref="E290:E298" si="56">SUM(C290:D290)</f>
        <v>370</v>
      </c>
      <c r="F290" s="31">
        <v>0</v>
      </c>
      <c r="G290" s="31">
        <v>0</v>
      </c>
      <c r="H290" s="31">
        <f>SUM(E290:G290)+20</f>
        <v>390</v>
      </c>
      <c r="I290" s="31">
        <v>0</v>
      </c>
      <c r="J290" s="31">
        <v>0</v>
      </c>
      <c r="K290" s="31">
        <f t="shared" si="42"/>
        <v>390</v>
      </c>
      <c r="L290" s="31">
        <v>0</v>
      </c>
      <c r="M290" s="31">
        <v>0</v>
      </c>
      <c r="N290" s="32">
        <f t="shared" si="51"/>
        <v>390</v>
      </c>
    </row>
    <row r="291" spans="1:14" ht="15.75" customHeight="1" x14ac:dyDescent="0.25">
      <c r="A291" s="140" t="s">
        <v>313</v>
      </c>
      <c r="B291" s="144" t="s">
        <v>314</v>
      </c>
      <c r="C291" s="31">
        <v>1200</v>
      </c>
      <c r="D291" s="31">
        <v>0</v>
      </c>
      <c r="E291" s="31">
        <f t="shared" si="56"/>
        <v>1200</v>
      </c>
      <c r="F291" s="31">
        <v>-165</v>
      </c>
      <c r="G291" s="31">
        <v>0</v>
      </c>
      <c r="H291" s="31">
        <f t="shared" ref="H291:H295" si="57">SUM(E291:G291)</f>
        <v>1035</v>
      </c>
      <c r="I291" s="31">
        <v>0</v>
      </c>
      <c r="J291" s="31">
        <v>0</v>
      </c>
      <c r="K291" s="31">
        <f t="shared" si="42"/>
        <v>1035</v>
      </c>
      <c r="L291" s="31">
        <v>0</v>
      </c>
      <c r="M291" s="31">
        <v>0</v>
      </c>
      <c r="N291" s="32">
        <f t="shared" si="51"/>
        <v>1035</v>
      </c>
    </row>
    <row r="292" spans="1:14" ht="15.75" customHeight="1" x14ac:dyDescent="0.25">
      <c r="A292" s="140" t="s">
        <v>315</v>
      </c>
      <c r="B292" s="145" t="s">
        <v>316</v>
      </c>
      <c r="C292" s="31">
        <v>0</v>
      </c>
      <c r="D292" s="114"/>
      <c r="E292" s="31"/>
      <c r="F292" s="31"/>
      <c r="G292" s="31"/>
      <c r="H292" s="152"/>
      <c r="I292" s="31"/>
      <c r="J292" s="31"/>
      <c r="K292" s="31">
        <v>0</v>
      </c>
      <c r="L292" s="31">
        <f>66.3</f>
        <v>66.3</v>
      </c>
      <c r="M292" s="31">
        <v>0</v>
      </c>
      <c r="N292" s="61">
        <f t="shared" si="51"/>
        <v>66.3</v>
      </c>
    </row>
    <row r="293" spans="1:14" ht="15.75" customHeight="1" x14ac:dyDescent="0.25">
      <c r="A293" s="140" t="s">
        <v>317</v>
      </c>
      <c r="B293" s="144" t="s">
        <v>316</v>
      </c>
      <c r="C293" s="31">
        <v>0</v>
      </c>
      <c r="D293" s="31"/>
      <c r="E293" s="31"/>
      <c r="F293" s="31"/>
      <c r="G293" s="31"/>
      <c r="H293" s="31">
        <v>0</v>
      </c>
      <c r="I293" s="31">
        <v>0</v>
      </c>
      <c r="J293" s="31">
        <f>42</f>
        <v>42</v>
      </c>
      <c r="K293" s="31">
        <f>SUM(H293:J293)</f>
        <v>42</v>
      </c>
      <c r="L293" s="31">
        <v>0</v>
      </c>
      <c r="M293" s="31">
        <v>0</v>
      </c>
      <c r="N293" s="32">
        <f t="shared" si="51"/>
        <v>42</v>
      </c>
    </row>
    <row r="294" spans="1:14" ht="15.75" customHeight="1" x14ac:dyDescent="0.25">
      <c r="A294" s="140" t="s">
        <v>318</v>
      </c>
      <c r="B294" s="144" t="s">
        <v>316</v>
      </c>
      <c r="C294" s="31">
        <v>0</v>
      </c>
      <c r="D294" s="31"/>
      <c r="E294" s="31"/>
      <c r="F294" s="31"/>
      <c r="G294" s="31"/>
      <c r="H294" s="31"/>
      <c r="I294" s="31"/>
      <c r="J294" s="31"/>
      <c r="K294" s="31">
        <v>0</v>
      </c>
      <c r="L294" s="31">
        <f>66.9</f>
        <v>66.900000000000006</v>
      </c>
      <c r="M294" s="31">
        <v>0</v>
      </c>
      <c r="N294" s="32">
        <f t="shared" si="51"/>
        <v>66.900000000000006</v>
      </c>
    </row>
    <row r="295" spans="1:14" ht="33" customHeight="1" x14ac:dyDescent="0.25">
      <c r="A295" s="29" t="s">
        <v>319</v>
      </c>
      <c r="B295" s="144" t="s">
        <v>320</v>
      </c>
      <c r="C295" s="31">
        <v>0</v>
      </c>
      <c r="D295" s="31"/>
      <c r="E295" s="31">
        <v>0</v>
      </c>
      <c r="F295" s="31">
        <v>0</v>
      </c>
      <c r="G295" s="31">
        <f>50</f>
        <v>50</v>
      </c>
      <c r="H295" s="31">
        <f t="shared" si="57"/>
        <v>50</v>
      </c>
      <c r="I295" s="31">
        <v>0</v>
      </c>
      <c r="J295" s="31">
        <v>0</v>
      </c>
      <c r="K295" s="31">
        <f t="shared" si="42"/>
        <v>50</v>
      </c>
      <c r="L295" s="31">
        <v>0</v>
      </c>
      <c r="M295" s="31">
        <v>0</v>
      </c>
      <c r="N295" s="32">
        <f t="shared" si="51"/>
        <v>50</v>
      </c>
    </row>
    <row r="296" spans="1:14" ht="33" customHeight="1" x14ac:dyDescent="0.25">
      <c r="A296" s="29" t="s">
        <v>319</v>
      </c>
      <c r="B296" s="144" t="s">
        <v>321</v>
      </c>
      <c r="C296" s="31">
        <v>0</v>
      </c>
      <c r="D296" s="31"/>
      <c r="E296" s="31"/>
      <c r="F296" s="31"/>
      <c r="G296" s="31"/>
      <c r="H296" s="31"/>
      <c r="I296" s="31"/>
      <c r="J296" s="31"/>
      <c r="K296" s="31">
        <v>0</v>
      </c>
      <c r="L296" s="31">
        <f>96.3</f>
        <v>96.3</v>
      </c>
      <c r="M296" s="31">
        <v>0</v>
      </c>
      <c r="N296" s="32">
        <f t="shared" si="51"/>
        <v>96.3</v>
      </c>
    </row>
    <row r="297" spans="1:14" ht="28.5" customHeight="1" x14ac:dyDescent="0.25">
      <c r="A297" s="29" t="s">
        <v>322</v>
      </c>
      <c r="B297" s="144" t="s">
        <v>84</v>
      </c>
      <c r="C297" s="31">
        <v>0</v>
      </c>
      <c r="D297" s="31"/>
      <c r="E297" s="31"/>
      <c r="F297" s="31"/>
      <c r="G297" s="31"/>
      <c r="H297" s="31">
        <v>0</v>
      </c>
      <c r="I297" s="31">
        <v>165</v>
      </c>
      <c r="J297" s="31">
        <v>0</v>
      </c>
      <c r="K297" s="31">
        <f t="shared" si="42"/>
        <v>165</v>
      </c>
      <c r="L297" s="31">
        <v>0</v>
      </c>
      <c r="M297" s="31">
        <v>0</v>
      </c>
      <c r="N297" s="32">
        <f t="shared" si="51"/>
        <v>165</v>
      </c>
    </row>
    <row r="298" spans="1:14" ht="27" customHeight="1" thickBot="1" x14ac:dyDescent="0.3">
      <c r="A298" s="33" t="s">
        <v>323</v>
      </c>
      <c r="B298" s="119"/>
      <c r="C298" s="35">
        <v>5215</v>
      </c>
      <c r="D298" s="35">
        <v>0</v>
      </c>
      <c r="E298" s="35">
        <f t="shared" si="56"/>
        <v>5215</v>
      </c>
      <c r="F298" s="35">
        <f>165+0+9000</f>
        <v>9165</v>
      </c>
      <c r="G298" s="35">
        <f>-48-50</f>
        <v>-98</v>
      </c>
      <c r="H298" s="35">
        <f>SUM(E298:G298)-20</f>
        <v>14262</v>
      </c>
      <c r="I298" s="35">
        <v>-695</v>
      </c>
      <c r="J298" s="35">
        <f>-42+415.56</f>
        <v>373.56</v>
      </c>
      <c r="K298" s="35">
        <f t="shared" si="42"/>
        <v>13940.56</v>
      </c>
      <c r="L298" s="35">
        <f>-133.2-96.3-3267</f>
        <v>-3496.5</v>
      </c>
      <c r="M298" s="35">
        <f>-65</f>
        <v>-65</v>
      </c>
      <c r="N298" s="36">
        <f t="shared" si="51"/>
        <v>10379.06</v>
      </c>
    </row>
    <row r="299" spans="1:14" ht="15.75" customHeight="1" thickBot="1" x14ac:dyDescent="0.3">
      <c r="A299" s="167" t="s">
        <v>324</v>
      </c>
      <c r="B299" s="168"/>
      <c r="C299" s="169">
        <f>SUM(C23+C52+C58+C69+C76+C81+C174+C186+C196+C200+C248+C252+C276+C281+C286)</f>
        <v>1257896.73</v>
      </c>
      <c r="D299" s="169">
        <f>SUM(D23+D52+D58+D69+D76+D81+D174+D186+D196+D200+D248+D252+D276+D281+D286)</f>
        <v>-8482.02</v>
      </c>
      <c r="E299" s="169">
        <f>SUM(C299:D299)</f>
        <v>1249414.71</v>
      </c>
      <c r="F299" s="169">
        <f>F23+F52+F58+F69+F76+F81+F174+F186+F196+F200+F248+F252+F276+F281+F286</f>
        <v>59527.560000000005</v>
      </c>
      <c r="G299" s="169">
        <f>SUM(G23+G52+G58+G69+G76+G81+G174+G186+G196+G200+G248+G252+G276+G281+G286)</f>
        <v>62569.599999999999</v>
      </c>
      <c r="H299" s="169">
        <f>H23+H52+H58+H69+H76+H81+H174+H186+H196+H200+H248+H252+H276+H281+H286</f>
        <v>1377203.1099999999</v>
      </c>
      <c r="I299" s="169">
        <f>I23+I52+I58+I69+I76+I81+I174+I186+I196+I200+I248+I252+I276+I281+I286</f>
        <v>20275.18</v>
      </c>
      <c r="J299" s="169">
        <f>SUM(J23+J52+J58+J69+J76+J81+J174+J186+J196+J200+J248+J252+J276+J281+J286)</f>
        <v>-13034.779999999995</v>
      </c>
      <c r="K299" s="169">
        <f>SUM(K23+K52+K58+K69+K76+K81+K174+K186+K196+K200+K248+K252+K276+K281+K286)</f>
        <v>1384864.5999999999</v>
      </c>
      <c r="L299" s="169">
        <f>SUM(L23++L52+L58+L69+L76+L81+L174+L186+L196+L200+L248+L252+L276+L281+L286)</f>
        <v>56153.659999999996</v>
      </c>
      <c r="M299" s="169">
        <f>SUM(M23+M52+M58+M69+M76+M81+M174+M186+M196+M200+M248+M252+M276+M281+M286)</f>
        <v>20815.610000000004</v>
      </c>
      <c r="N299" s="170">
        <f>SUM(N23+N52+N58+N69+N76+N81+N174+N186+N196+N200+N248+N252+N276+N281+N286)</f>
        <v>1461833.8699999999</v>
      </c>
    </row>
    <row r="300" spans="1:14" ht="12" customHeight="1" thickBot="1" x14ac:dyDescent="0.3">
      <c r="A300" s="171"/>
      <c r="B300" s="172"/>
      <c r="C300" s="173"/>
      <c r="D300" s="173"/>
      <c r="E300" s="173"/>
      <c r="F300" s="173"/>
      <c r="G300" s="173"/>
      <c r="H300" s="173"/>
      <c r="I300" s="173"/>
      <c r="J300" s="173"/>
      <c r="K300" s="45"/>
      <c r="L300" s="45"/>
      <c r="M300" s="45"/>
      <c r="N300" s="174"/>
    </row>
    <row r="301" spans="1:14" ht="16.5" customHeight="1" thickBot="1" x14ac:dyDescent="0.3">
      <c r="A301" s="167" t="s">
        <v>325</v>
      </c>
      <c r="B301" s="175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176"/>
    </row>
    <row r="302" spans="1:14" ht="18" customHeight="1" thickBot="1" x14ac:dyDescent="0.3">
      <c r="A302" s="142" t="s">
        <v>36</v>
      </c>
      <c r="B302" s="127"/>
      <c r="C302" s="96">
        <f>SUM(C304:C305)</f>
        <v>0</v>
      </c>
      <c r="D302" s="96">
        <f>SUM(D305)</f>
        <v>0</v>
      </c>
      <c r="E302" s="177">
        <f>SUM(C302:D302)</f>
        <v>0</v>
      </c>
      <c r="F302" s="177">
        <f>SUM(F305)</f>
        <v>0</v>
      </c>
      <c r="G302" s="177">
        <f t="shared" ref="G302:L302" si="58">SUM(G304:G305)</f>
        <v>0</v>
      </c>
      <c r="H302" s="177">
        <f t="shared" si="58"/>
        <v>40</v>
      </c>
      <c r="I302" s="177">
        <f t="shared" si="58"/>
        <v>0</v>
      </c>
      <c r="J302" s="177">
        <f t="shared" si="58"/>
        <v>0</v>
      </c>
      <c r="K302" s="96">
        <f t="shared" si="58"/>
        <v>40</v>
      </c>
      <c r="L302" s="96">
        <f t="shared" si="58"/>
        <v>0</v>
      </c>
      <c r="M302" s="96">
        <f>SUM(M304:M305)</f>
        <v>0</v>
      </c>
      <c r="N302" s="128">
        <f t="shared" si="51"/>
        <v>40</v>
      </c>
    </row>
    <row r="303" spans="1:14" ht="16.5" customHeight="1" x14ac:dyDescent="0.25">
      <c r="A303" s="143" t="s">
        <v>37</v>
      </c>
      <c r="B303" s="126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8"/>
    </row>
    <row r="304" spans="1:14" ht="28.5" customHeight="1" x14ac:dyDescent="0.25">
      <c r="A304" s="29" t="s">
        <v>326</v>
      </c>
      <c r="B304" s="116" t="s">
        <v>63</v>
      </c>
      <c r="C304" s="31">
        <v>0</v>
      </c>
      <c r="D304" s="31"/>
      <c r="E304" s="31">
        <f>40</f>
        <v>40</v>
      </c>
      <c r="F304" s="31">
        <v>0</v>
      </c>
      <c r="G304" s="31">
        <v>0</v>
      </c>
      <c r="H304" s="31">
        <f>SUM(E304:G304)</f>
        <v>40</v>
      </c>
      <c r="I304" s="31">
        <v>0</v>
      </c>
      <c r="J304" s="31">
        <v>0</v>
      </c>
      <c r="K304" s="31">
        <f t="shared" si="42"/>
        <v>40</v>
      </c>
      <c r="L304" s="31">
        <v>0</v>
      </c>
      <c r="M304" s="31">
        <v>0</v>
      </c>
      <c r="N304" s="32">
        <f t="shared" si="51"/>
        <v>40</v>
      </c>
    </row>
    <row r="305" spans="1:14" ht="18.75" customHeight="1" thickBot="1" x14ac:dyDescent="0.3">
      <c r="A305" s="147" t="s">
        <v>327</v>
      </c>
      <c r="B305" s="119"/>
      <c r="C305" s="35">
        <v>0</v>
      </c>
      <c r="D305" s="35">
        <v>0</v>
      </c>
      <c r="E305" s="120">
        <f>SUM(C305:D305)</f>
        <v>0</v>
      </c>
      <c r="F305" s="120">
        <v>0</v>
      </c>
      <c r="G305" s="120">
        <v>0</v>
      </c>
      <c r="H305" s="35">
        <f>SUM(E305:G305)</f>
        <v>0</v>
      </c>
      <c r="I305" s="35">
        <v>0</v>
      </c>
      <c r="J305" s="35">
        <v>0</v>
      </c>
      <c r="K305" s="35">
        <f t="shared" si="42"/>
        <v>0</v>
      </c>
      <c r="L305" s="35">
        <v>0</v>
      </c>
      <c r="M305" s="35">
        <v>0</v>
      </c>
      <c r="N305" s="36">
        <f t="shared" si="51"/>
        <v>0</v>
      </c>
    </row>
    <row r="306" spans="1:14" ht="14.25" customHeight="1" thickBot="1" x14ac:dyDescent="0.3">
      <c r="A306" s="142" t="s">
        <v>328</v>
      </c>
      <c r="B306" s="127"/>
      <c r="C306" s="96">
        <f>SUM(C308:C311)</f>
        <v>400</v>
      </c>
      <c r="D306" s="96">
        <f>SUM(D308:D311)</f>
        <v>0</v>
      </c>
      <c r="E306" s="96">
        <f>SUM(C306:D306)</f>
        <v>400</v>
      </c>
      <c r="F306" s="96">
        <f t="shared" ref="F306:L306" si="59">SUM(F308:F311)</f>
        <v>0</v>
      </c>
      <c r="G306" s="96">
        <f t="shared" si="59"/>
        <v>0</v>
      </c>
      <c r="H306" s="96">
        <f t="shared" si="59"/>
        <v>400</v>
      </c>
      <c r="I306" s="96">
        <f t="shared" si="59"/>
        <v>0</v>
      </c>
      <c r="J306" s="96">
        <f t="shared" si="59"/>
        <v>115</v>
      </c>
      <c r="K306" s="96">
        <f t="shared" si="59"/>
        <v>515</v>
      </c>
      <c r="L306" s="96">
        <f t="shared" si="59"/>
        <v>45</v>
      </c>
      <c r="M306" s="96">
        <f>SUM(M308:M311)</f>
        <v>0</v>
      </c>
      <c r="N306" s="128">
        <f t="shared" si="51"/>
        <v>560</v>
      </c>
    </row>
    <row r="307" spans="1:14" ht="14.25" customHeight="1" x14ac:dyDescent="0.25">
      <c r="A307" s="143" t="s">
        <v>37</v>
      </c>
      <c r="B307" s="126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8"/>
    </row>
    <row r="308" spans="1:14" ht="18.75" customHeight="1" x14ac:dyDescent="0.25">
      <c r="A308" s="140" t="s">
        <v>329</v>
      </c>
      <c r="B308" s="116"/>
      <c r="C308" s="31">
        <v>0</v>
      </c>
      <c r="D308" s="31">
        <v>0</v>
      </c>
      <c r="E308" s="62">
        <f>SUM(C308:D308)</f>
        <v>0</v>
      </c>
      <c r="F308" s="62">
        <v>0</v>
      </c>
      <c r="G308" s="62">
        <v>0</v>
      </c>
      <c r="H308" s="62">
        <f>SUM(E308:G308)</f>
        <v>0</v>
      </c>
      <c r="I308" s="62">
        <v>0</v>
      </c>
      <c r="J308" s="62">
        <v>0</v>
      </c>
      <c r="K308" s="31">
        <f t="shared" si="42"/>
        <v>0</v>
      </c>
      <c r="L308" s="31">
        <v>0</v>
      </c>
      <c r="M308" s="31">
        <v>0</v>
      </c>
      <c r="N308" s="32">
        <f t="shared" si="51"/>
        <v>0</v>
      </c>
    </row>
    <row r="309" spans="1:14" ht="19.5" customHeight="1" x14ac:dyDescent="0.25">
      <c r="A309" s="140" t="s">
        <v>330</v>
      </c>
      <c r="B309" s="116"/>
      <c r="C309" s="31">
        <v>0</v>
      </c>
      <c r="D309" s="31">
        <v>0</v>
      </c>
      <c r="E309" s="62">
        <f t="shared" ref="E309:E311" si="60">SUM(C309:D309)</f>
        <v>0</v>
      </c>
      <c r="F309" s="62">
        <v>0</v>
      </c>
      <c r="G309" s="62">
        <v>0</v>
      </c>
      <c r="H309" s="62">
        <f t="shared" ref="H309:H311" si="61">SUM(E309:G309)</f>
        <v>0</v>
      </c>
      <c r="I309" s="62">
        <v>0</v>
      </c>
      <c r="J309" s="62">
        <v>0</v>
      </c>
      <c r="K309" s="31">
        <f t="shared" si="42"/>
        <v>0</v>
      </c>
      <c r="L309" s="31">
        <v>0</v>
      </c>
      <c r="M309" s="31">
        <v>0</v>
      </c>
      <c r="N309" s="32">
        <f t="shared" si="51"/>
        <v>0</v>
      </c>
    </row>
    <row r="310" spans="1:14" ht="15.75" customHeight="1" x14ac:dyDescent="0.25">
      <c r="A310" s="140" t="s">
        <v>331</v>
      </c>
      <c r="B310" s="116"/>
      <c r="C310" s="31">
        <v>400</v>
      </c>
      <c r="D310" s="31">
        <v>0</v>
      </c>
      <c r="E310" s="62">
        <f t="shared" si="60"/>
        <v>400</v>
      </c>
      <c r="F310" s="62">
        <v>0</v>
      </c>
      <c r="G310" s="62">
        <v>0</v>
      </c>
      <c r="H310" s="62">
        <f t="shared" si="61"/>
        <v>400</v>
      </c>
      <c r="I310" s="62">
        <v>0</v>
      </c>
      <c r="J310" s="62">
        <f>115</f>
        <v>115</v>
      </c>
      <c r="K310" s="31">
        <f t="shared" si="42"/>
        <v>515</v>
      </c>
      <c r="L310" s="31">
        <f>45</f>
        <v>45</v>
      </c>
      <c r="M310" s="31">
        <v>0</v>
      </c>
      <c r="N310" s="32">
        <f t="shared" si="51"/>
        <v>560</v>
      </c>
    </row>
    <row r="311" spans="1:14" ht="19.5" customHeight="1" thickBot="1" x14ac:dyDescent="0.3">
      <c r="A311" s="147" t="s">
        <v>332</v>
      </c>
      <c r="B311" s="119"/>
      <c r="C311" s="35">
        <v>0</v>
      </c>
      <c r="D311" s="35">
        <v>0</v>
      </c>
      <c r="E311" s="120">
        <f t="shared" si="60"/>
        <v>0</v>
      </c>
      <c r="F311" s="120">
        <v>0</v>
      </c>
      <c r="G311" s="120">
        <v>0</v>
      </c>
      <c r="H311" s="120">
        <f t="shared" si="61"/>
        <v>0</v>
      </c>
      <c r="I311" s="120">
        <v>0</v>
      </c>
      <c r="J311" s="120">
        <v>0</v>
      </c>
      <c r="K311" s="35">
        <f t="shared" si="42"/>
        <v>0</v>
      </c>
      <c r="L311" s="35">
        <v>0</v>
      </c>
      <c r="M311" s="35">
        <v>0</v>
      </c>
      <c r="N311" s="36">
        <f t="shared" si="51"/>
        <v>0</v>
      </c>
    </row>
    <row r="312" spans="1:14" ht="16.5" customHeight="1" thickBot="1" x14ac:dyDescent="0.3">
      <c r="A312" s="142" t="s">
        <v>80</v>
      </c>
      <c r="B312" s="127"/>
      <c r="C312" s="96">
        <f>SUM(C314:C322)</f>
        <v>10000</v>
      </c>
      <c r="D312" s="96">
        <f>SUM(D315:D322)</f>
        <v>0</v>
      </c>
      <c r="E312" s="96">
        <f>SUM(C312:D312)</f>
        <v>10000</v>
      </c>
      <c r="F312" s="96">
        <f>SUM(F315:F322)</f>
        <v>27227.57</v>
      </c>
      <c r="G312" s="96">
        <f>SUM(G315:G322)</f>
        <v>3200</v>
      </c>
      <c r="H312" s="96">
        <f>SUM(H315:H322)</f>
        <v>40335.870000000003</v>
      </c>
      <c r="I312" s="96">
        <f>SUM(I315:I322)</f>
        <v>43144.37</v>
      </c>
      <c r="J312" s="96">
        <f>SUM(J315:J322)</f>
        <v>-1618</v>
      </c>
      <c r="K312" s="96">
        <f>SUM(K314:K322)</f>
        <v>72773.240000000005</v>
      </c>
      <c r="L312" s="96">
        <f>SUM(L314:L322)</f>
        <v>1140</v>
      </c>
      <c r="M312" s="96">
        <f>SUM(M314:M322)</f>
        <v>-3197</v>
      </c>
      <c r="N312" s="128">
        <f t="shared" si="51"/>
        <v>70716.240000000005</v>
      </c>
    </row>
    <row r="313" spans="1:14" ht="15.75" customHeight="1" x14ac:dyDescent="0.25">
      <c r="A313" s="143" t="s">
        <v>37</v>
      </c>
      <c r="B313" s="126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8"/>
    </row>
    <row r="314" spans="1:14" ht="15.75" customHeight="1" x14ac:dyDescent="0.25">
      <c r="A314" s="140" t="s">
        <v>333</v>
      </c>
      <c r="B314" s="116" t="s">
        <v>84</v>
      </c>
      <c r="C314" s="31">
        <v>0</v>
      </c>
      <c r="D314" s="31"/>
      <c r="E314" s="31"/>
      <c r="F314" s="31"/>
      <c r="G314" s="31"/>
      <c r="H314" s="31"/>
      <c r="I314" s="31"/>
      <c r="J314" s="31"/>
      <c r="K314" s="31">
        <v>0</v>
      </c>
      <c r="L314" s="31">
        <f>1140</f>
        <v>1140</v>
      </c>
      <c r="M314" s="31">
        <v>0</v>
      </c>
      <c r="N314" s="32">
        <f t="shared" si="51"/>
        <v>1140</v>
      </c>
    </row>
    <row r="315" spans="1:14" ht="18" customHeight="1" x14ac:dyDescent="0.25">
      <c r="A315" s="140" t="s">
        <v>334</v>
      </c>
      <c r="B315" s="116"/>
      <c r="C315" s="31">
        <v>1600</v>
      </c>
      <c r="D315" s="31">
        <v>0</v>
      </c>
      <c r="E315" s="31">
        <f>SUM(C315:D315)</f>
        <v>1600</v>
      </c>
      <c r="F315" s="31">
        <v>3721.84</v>
      </c>
      <c r="G315" s="31">
        <f>3500</f>
        <v>3500</v>
      </c>
      <c r="H315" s="31">
        <f>SUM(E315:G315)-69.7</f>
        <v>8752.14</v>
      </c>
      <c r="I315" s="31">
        <v>0</v>
      </c>
      <c r="J315" s="31">
        <v>0</v>
      </c>
      <c r="K315" s="31">
        <f>SUM(H315:J315)-500</f>
        <v>8252.14</v>
      </c>
      <c r="L315" s="31">
        <v>0</v>
      </c>
      <c r="M315" s="31">
        <f>-1500</f>
        <v>-1500</v>
      </c>
      <c r="N315" s="32">
        <f t="shared" si="51"/>
        <v>6752.1399999999994</v>
      </c>
    </row>
    <row r="316" spans="1:14" ht="17.25" customHeight="1" x14ac:dyDescent="0.25">
      <c r="A316" s="140" t="s">
        <v>335</v>
      </c>
      <c r="B316" s="116"/>
      <c r="C316" s="31">
        <v>3100</v>
      </c>
      <c r="D316" s="31">
        <v>0</v>
      </c>
      <c r="E316" s="31">
        <f t="shared" ref="E316:E322" si="62">SUM(C316:D316)</f>
        <v>3100</v>
      </c>
      <c r="F316" s="31">
        <v>1521.55</v>
      </c>
      <c r="G316" s="31">
        <v>0</v>
      </c>
      <c r="H316" s="31">
        <f>SUM(E316:G316)</f>
        <v>4621.55</v>
      </c>
      <c r="I316" s="31">
        <v>0</v>
      </c>
      <c r="J316" s="31">
        <f>-394</f>
        <v>-394</v>
      </c>
      <c r="K316" s="31">
        <f>SUM(H316:J316)-917</f>
        <v>3310.55</v>
      </c>
      <c r="L316" s="31">
        <v>0</v>
      </c>
      <c r="M316" s="31">
        <f>-1079-118</f>
        <v>-1197</v>
      </c>
      <c r="N316" s="32">
        <f t="shared" si="51"/>
        <v>2113.5500000000002</v>
      </c>
    </row>
    <row r="317" spans="1:14" ht="18" customHeight="1" x14ac:dyDescent="0.25">
      <c r="A317" s="29" t="s">
        <v>336</v>
      </c>
      <c r="B317" s="151"/>
      <c r="C317" s="31">
        <v>1300</v>
      </c>
      <c r="D317" s="114">
        <v>0</v>
      </c>
      <c r="E317" s="31">
        <f t="shared" si="62"/>
        <v>1300</v>
      </c>
      <c r="F317" s="31">
        <v>2763.95</v>
      </c>
      <c r="G317" s="31">
        <f>-300</f>
        <v>-300</v>
      </c>
      <c r="H317" s="152">
        <f t="shared" ref="H317:H322" si="63">SUM(E317:G317)</f>
        <v>3763.95</v>
      </c>
      <c r="I317" s="31">
        <v>0</v>
      </c>
      <c r="J317" s="31">
        <f>-193</f>
        <v>-193</v>
      </c>
      <c r="K317" s="31">
        <f t="shared" ref="K317:K379" si="64">SUM(H317:J317)</f>
        <v>3570.95</v>
      </c>
      <c r="L317" s="31">
        <v>0</v>
      </c>
      <c r="M317" s="31">
        <v>0</v>
      </c>
      <c r="N317" s="61">
        <f t="shared" si="51"/>
        <v>3570.95</v>
      </c>
    </row>
    <row r="318" spans="1:14" ht="17.25" customHeight="1" x14ac:dyDescent="0.25">
      <c r="A318" s="140" t="s">
        <v>337</v>
      </c>
      <c r="B318" s="116"/>
      <c r="C318" s="31">
        <v>2900</v>
      </c>
      <c r="D318" s="31">
        <v>0</v>
      </c>
      <c r="E318" s="31">
        <f t="shared" si="62"/>
        <v>2900</v>
      </c>
      <c r="F318" s="31">
        <v>1907.33</v>
      </c>
      <c r="G318" s="31">
        <v>0</v>
      </c>
      <c r="H318" s="31">
        <f>SUM(E318:G318)-22</f>
        <v>4785.33</v>
      </c>
      <c r="I318" s="31">
        <v>0</v>
      </c>
      <c r="J318" s="31">
        <f>-130</f>
        <v>-130</v>
      </c>
      <c r="K318" s="31">
        <f t="shared" si="64"/>
        <v>4655.33</v>
      </c>
      <c r="L318" s="31">
        <v>0</v>
      </c>
      <c r="M318" s="31">
        <v>0</v>
      </c>
      <c r="N318" s="32">
        <f t="shared" si="51"/>
        <v>4655.33</v>
      </c>
    </row>
    <row r="319" spans="1:14" ht="16.5" customHeight="1" x14ac:dyDescent="0.25">
      <c r="A319" s="29" t="s">
        <v>338</v>
      </c>
      <c r="B319" s="116"/>
      <c r="C319" s="31">
        <v>1100</v>
      </c>
      <c r="D319" s="31">
        <v>0</v>
      </c>
      <c r="E319" s="31">
        <f t="shared" si="62"/>
        <v>1100</v>
      </c>
      <c r="F319" s="31">
        <v>4843.6000000000004</v>
      </c>
      <c r="G319" s="31">
        <v>0</v>
      </c>
      <c r="H319" s="31">
        <f t="shared" si="63"/>
        <v>5943.6</v>
      </c>
      <c r="I319" s="31">
        <v>0</v>
      </c>
      <c r="J319" s="31">
        <f>-901</f>
        <v>-901</v>
      </c>
      <c r="K319" s="31">
        <f>SUM(H319:J319)-3872</f>
        <v>1170.6000000000004</v>
      </c>
      <c r="L319" s="31">
        <v>0</v>
      </c>
      <c r="M319" s="31">
        <v>0</v>
      </c>
      <c r="N319" s="32">
        <f t="shared" si="51"/>
        <v>1170.6000000000004</v>
      </c>
    </row>
    <row r="320" spans="1:14" ht="28.5" customHeight="1" x14ac:dyDescent="0.25">
      <c r="A320" s="29" t="s">
        <v>339</v>
      </c>
      <c r="B320" s="116"/>
      <c r="C320" s="31">
        <v>0</v>
      </c>
      <c r="D320" s="31"/>
      <c r="E320" s="31">
        <v>0</v>
      </c>
      <c r="F320" s="31">
        <v>1870.4</v>
      </c>
      <c r="G320" s="31">
        <v>0</v>
      </c>
      <c r="H320" s="31">
        <f t="shared" si="63"/>
        <v>1870.4</v>
      </c>
      <c r="I320" s="31">
        <v>4771.6499999999996</v>
      </c>
      <c r="J320" s="31">
        <v>0</v>
      </c>
      <c r="K320" s="31">
        <f>SUM(H320:J320)-3800</f>
        <v>2842.0499999999993</v>
      </c>
      <c r="L320" s="31">
        <v>0</v>
      </c>
      <c r="M320" s="31">
        <f>-500</f>
        <v>-500</v>
      </c>
      <c r="N320" s="32">
        <f t="shared" si="51"/>
        <v>2342.0499999999993</v>
      </c>
    </row>
    <row r="321" spans="1:14" ht="26.25" customHeight="1" x14ac:dyDescent="0.25">
      <c r="A321" s="29" t="s">
        <v>340</v>
      </c>
      <c r="B321" s="116"/>
      <c r="C321" s="31">
        <v>0</v>
      </c>
      <c r="D321" s="31"/>
      <c r="E321" s="31">
        <v>0</v>
      </c>
      <c r="F321" s="31">
        <v>10598.9</v>
      </c>
      <c r="G321" s="31">
        <v>0</v>
      </c>
      <c r="H321" s="31">
        <f t="shared" si="63"/>
        <v>10598.9</v>
      </c>
      <c r="I321" s="31">
        <v>38372.720000000001</v>
      </c>
      <c r="J321" s="31">
        <v>0</v>
      </c>
      <c r="K321" s="31">
        <f t="shared" si="64"/>
        <v>48971.62</v>
      </c>
      <c r="L321" s="31">
        <v>0</v>
      </c>
      <c r="M321" s="31">
        <v>0</v>
      </c>
      <c r="N321" s="32">
        <f t="shared" si="51"/>
        <v>48971.62</v>
      </c>
    </row>
    <row r="322" spans="1:14" ht="16.5" customHeight="1" thickBot="1" x14ac:dyDescent="0.3">
      <c r="A322" s="147" t="s">
        <v>341</v>
      </c>
      <c r="B322" s="119"/>
      <c r="C322" s="35">
        <v>0</v>
      </c>
      <c r="D322" s="35">
        <v>0</v>
      </c>
      <c r="E322" s="35">
        <f t="shared" si="62"/>
        <v>0</v>
      </c>
      <c r="F322" s="35">
        <v>0</v>
      </c>
      <c r="G322" s="35">
        <v>0</v>
      </c>
      <c r="H322" s="35">
        <f t="shared" si="63"/>
        <v>0</v>
      </c>
      <c r="I322" s="35">
        <v>0</v>
      </c>
      <c r="J322" s="35">
        <v>0</v>
      </c>
      <c r="K322" s="35">
        <f t="shared" si="64"/>
        <v>0</v>
      </c>
      <c r="L322" s="35">
        <v>0</v>
      </c>
      <c r="M322" s="35">
        <v>0</v>
      </c>
      <c r="N322" s="36">
        <f t="shared" si="51"/>
        <v>0</v>
      </c>
    </row>
    <row r="323" spans="1:14" ht="16.5" customHeight="1" thickBot="1" x14ac:dyDescent="0.3">
      <c r="A323" s="142" t="s">
        <v>92</v>
      </c>
      <c r="B323" s="135"/>
      <c r="C323" s="96">
        <f>SUM(C325:C327)</f>
        <v>4735</v>
      </c>
      <c r="D323" s="97">
        <f>SUM(D325:D327)</f>
        <v>7517</v>
      </c>
      <c r="E323" s="96">
        <f>SUM(C323:D323)</f>
        <v>12252</v>
      </c>
      <c r="F323" s="96">
        <f t="shared" ref="F323:L323" si="65">SUM(F325:F327)</f>
        <v>7122.62</v>
      </c>
      <c r="G323" s="96">
        <f t="shared" si="65"/>
        <v>4246</v>
      </c>
      <c r="H323" s="123">
        <f t="shared" si="65"/>
        <v>23746.62</v>
      </c>
      <c r="I323" s="96">
        <f t="shared" si="65"/>
        <v>4065</v>
      </c>
      <c r="J323" s="96">
        <f t="shared" si="65"/>
        <v>1070.5999999999999</v>
      </c>
      <c r="K323" s="96">
        <f t="shared" si="65"/>
        <v>29784.219999999998</v>
      </c>
      <c r="L323" s="96">
        <f t="shared" si="65"/>
        <v>4177</v>
      </c>
      <c r="M323" s="96">
        <f>SUM(M325:M327)</f>
        <v>411</v>
      </c>
      <c r="N323" s="124">
        <f t="shared" si="51"/>
        <v>34372.22</v>
      </c>
    </row>
    <row r="324" spans="1:14" ht="18" customHeight="1" x14ac:dyDescent="0.25">
      <c r="A324" s="148" t="s">
        <v>37</v>
      </c>
      <c r="B324" s="149"/>
      <c r="C324" s="58"/>
      <c r="D324" s="103"/>
      <c r="E324" s="58"/>
      <c r="F324" s="58"/>
      <c r="G324" s="58"/>
      <c r="H324" s="150"/>
      <c r="I324" s="58"/>
      <c r="J324" s="58"/>
      <c r="K324" s="58"/>
      <c r="L324" s="58"/>
      <c r="M324" s="58"/>
      <c r="N324" s="48"/>
    </row>
    <row r="325" spans="1:14" ht="29.25" customHeight="1" x14ac:dyDescent="0.25">
      <c r="A325" s="29" t="s">
        <v>342</v>
      </c>
      <c r="B325" s="151"/>
      <c r="C325" s="31">
        <v>0</v>
      </c>
      <c r="D325" s="114">
        <v>0</v>
      </c>
      <c r="E325" s="62">
        <f>SUM(C325:D325)</f>
        <v>0</v>
      </c>
      <c r="F325" s="62">
        <v>0</v>
      </c>
      <c r="G325" s="62">
        <v>0</v>
      </c>
      <c r="H325" s="178">
        <f>SUM(E325:G325)</f>
        <v>0</v>
      </c>
      <c r="I325" s="62">
        <v>0</v>
      </c>
      <c r="J325" s="62">
        <v>0</v>
      </c>
      <c r="K325" s="31">
        <f t="shared" si="64"/>
        <v>0</v>
      </c>
      <c r="L325" s="31">
        <v>0</v>
      </c>
      <c r="M325" s="31">
        <v>0</v>
      </c>
      <c r="N325" s="61">
        <f t="shared" si="51"/>
        <v>0</v>
      </c>
    </row>
    <row r="326" spans="1:14" ht="17.25" customHeight="1" x14ac:dyDescent="0.25">
      <c r="A326" s="140" t="s">
        <v>330</v>
      </c>
      <c r="B326" s="151"/>
      <c r="C326" s="31">
        <v>3678</v>
      </c>
      <c r="D326" s="114">
        <f>6934+90+483</f>
        <v>7507</v>
      </c>
      <c r="E326" s="62">
        <f t="shared" ref="E326:E327" si="66">SUM(C326:D326)</f>
        <v>11185</v>
      </c>
      <c r="F326" s="62">
        <v>2418</v>
      </c>
      <c r="G326" s="62">
        <f>200+4046</f>
        <v>4246</v>
      </c>
      <c r="H326" s="178">
        <f>SUM(E326:G326)+126</f>
        <v>17975</v>
      </c>
      <c r="I326" s="62">
        <v>0</v>
      </c>
      <c r="J326" s="62">
        <f>-307-277.4+1655</f>
        <v>1070.5999999999999</v>
      </c>
      <c r="K326" s="31">
        <f>SUM(H326:J326)+902</f>
        <v>19947.599999999999</v>
      </c>
      <c r="L326" s="31">
        <f>60+3267</f>
        <v>3327</v>
      </c>
      <c r="M326" s="31">
        <f>970-324-235</f>
        <v>411</v>
      </c>
      <c r="N326" s="32">
        <f t="shared" si="51"/>
        <v>23685.599999999999</v>
      </c>
    </row>
    <row r="327" spans="1:14" ht="20.25" customHeight="1" thickBot="1" x14ac:dyDescent="0.3">
      <c r="A327" s="33" t="s">
        <v>343</v>
      </c>
      <c r="B327" s="153"/>
      <c r="C327" s="35">
        <v>1057</v>
      </c>
      <c r="D327" s="154">
        <f>10</f>
        <v>10</v>
      </c>
      <c r="E327" s="120">
        <f t="shared" si="66"/>
        <v>1067</v>
      </c>
      <c r="F327" s="120">
        <v>4704.62</v>
      </c>
      <c r="G327" s="120">
        <v>0</v>
      </c>
      <c r="H327" s="179">
        <f t="shared" ref="H327" si="67">SUM(E327:G327)</f>
        <v>5771.62</v>
      </c>
      <c r="I327" s="120">
        <v>4065</v>
      </c>
      <c r="J327" s="120">
        <v>0</v>
      </c>
      <c r="K327" s="35">
        <f t="shared" si="64"/>
        <v>9836.619999999999</v>
      </c>
      <c r="L327" s="35">
        <f>850</f>
        <v>850</v>
      </c>
      <c r="M327" s="35">
        <v>0</v>
      </c>
      <c r="N327" s="66">
        <f t="shared" si="51"/>
        <v>10686.619999999999</v>
      </c>
    </row>
    <row r="328" spans="1:14" ht="15" customHeight="1" thickBot="1" x14ac:dyDescent="0.3">
      <c r="A328" s="142" t="s">
        <v>97</v>
      </c>
      <c r="B328" s="135"/>
      <c r="C328" s="180">
        <f>SUM(C330:C331)</f>
        <v>0</v>
      </c>
      <c r="D328" s="181">
        <f>SUM(D330:D331)</f>
        <v>0</v>
      </c>
      <c r="E328" s="182">
        <f>SUM(C328:D328)</f>
        <v>0</v>
      </c>
      <c r="F328" s="182">
        <f t="shared" ref="F328:L328" si="68">SUM(F330:F331)</f>
        <v>0</v>
      </c>
      <c r="G328" s="182">
        <f t="shared" si="68"/>
        <v>0</v>
      </c>
      <c r="H328" s="183">
        <f t="shared" si="68"/>
        <v>0</v>
      </c>
      <c r="I328" s="182">
        <f t="shared" si="68"/>
        <v>0</v>
      </c>
      <c r="J328" s="182">
        <f t="shared" si="68"/>
        <v>0</v>
      </c>
      <c r="K328" s="96">
        <f t="shared" si="68"/>
        <v>0</v>
      </c>
      <c r="L328" s="96">
        <f t="shared" si="68"/>
        <v>0</v>
      </c>
      <c r="M328" s="96">
        <f>SUM(M330:M331)</f>
        <v>0</v>
      </c>
      <c r="N328" s="136">
        <f t="shared" si="51"/>
        <v>0</v>
      </c>
    </row>
    <row r="329" spans="1:14" ht="14.25" customHeight="1" x14ac:dyDescent="0.25">
      <c r="A329" s="148" t="s">
        <v>37</v>
      </c>
      <c r="B329" s="149"/>
      <c r="C329" s="58"/>
      <c r="D329" s="103"/>
      <c r="E329" s="58"/>
      <c r="F329" s="58"/>
      <c r="G329" s="58"/>
      <c r="H329" s="150"/>
      <c r="I329" s="58"/>
      <c r="J329" s="58"/>
      <c r="K329" s="58"/>
      <c r="L329" s="58"/>
      <c r="M329" s="58"/>
      <c r="N329" s="48"/>
    </row>
    <row r="330" spans="1:14" ht="18" customHeight="1" x14ac:dyDescent="0.25">
      <c r="A330" s="143" t="s">
        <v>330</v>
      </c>
      <c r="B330" s="160"/>
      <c r="C330" s="27">
        <v>0</v>
      </c>
      <c r="D330" s="109">
        <v>0</v>
      </c>
      <c r="E330" s="161">
        <f>SUM(C330:D330)</f>
        <v>0</v>
      </c>
      <c r="F330" s="161">
        <v>0</v>
      </c>
      <c r="G330" s="161">
        <v>0</v>
      </c>
      <c r="H330" s="162">
        <f>SUM(E330:G330)</f>
        <v>0</v>
      </c>
      <c r="I330" s="161">
        <v>0</v>
      </c>
      <c r="J330" s="161">
        <v>0</v>
      </c>
      <c r="K330" s="27">
        <f t="shared" si="64"/>
        <v>0</v>
      </c>
      <c r="L330" s="109">
        <v>0</v>
      </c>
      <c r="M330" s="27">
        <v>0</v>
      </c>
      <c r="N330" s="66">
        <f t="shared" si="51"/>
        <v>0</v>
      </c>
    </row>
    <row r="331" spans="1:14" ht="17.25" customHeight="1" thickBot="1" x14ac:dyDescent="0.3">
      <c r="A331" s="141" t="s">
        <v>344</v>
      </c>
      <c r="B331" s="163"/>
      <c r="C331" s="45">
        <v>0</v>
      </c>
      <c r="D331" s="46">
        <v>0</v>
      </c>
      <c r="E331" s="134">
        <f>SUM(C331:D331)</f>
        <v>0</v>
      </c>
      <c r="F331" s="134">
        <v>0</v>
      </c>
      <c r="G331" s="134">
        <v>0</v>
      </c>
      <c r="H331" s="164">
        <f>SUM(E331:G331)</f>
        <v>0</v>
      </c>
      <c r="I331" s="134">
        <v>0</v>
      </c>
      <c r="J331" s="134">
        <v>0</v>
      </c>
      <c r="K331" s="45">
        <f t="shared" si="64"/>
        <v>0</v>
      </c>
      <c r="L331" s="46">
        <v>0</v>
      </c>
      <c r="M331" s="45">
        <v>0</v>
      </c>
      <c r="N331" s="66">
        <f t="shared" si="51"/>
        <v>0</v>
      </c>
    </row>
    <row r="332" spans="1:14" ht="15" customHeight="1" thickBot="1" x14ac:dyDescent="0.3">
      <c r="A332" s="142" t="s">
        <v>100</v>
      </c>
      <c r="B332" s="135"/>
      <c r="C332" s="96">
        <f>SUM(C334:C343)</f>
        <v>0</v>
      </c>
      <c r="D332" s="97">
        <f>SUM(D334:D343)</f>
        <v>380</v>
      </c>
      <c r="E332" s="96">
        <f>SUM(C332:D332)</f>
        <v>380</v>
      </c>
      <c r="F332" s="96">
        <f t="shared" ref="F332:L332" si="69">SUM(F334:F343)</f>
        <v>610</v>
      </c>
      <c r="G332" s="96">
        <f t="shared" si="69"/>
        <v>1400</v>
      </c>
      <c r="H332" s="123">
        <f t="shared" si="69"/>
        <v>2390</v>
      </c>
      <c r="I332" s="96">
        <f t="shared" si="69"/>
        <v>151.26</v>
      </c>
      <c r="J332" s="96">
        <f t="shared" si="69"/>
        <v>0</v>
      </c>
      <c r="K332" s="96">
        <f t="shared" si="69"/>
        <v>2541.2600000000002</v>
      </c>
      <c r="L332" s="97">
        <f t="shared" si="69"/>
        <v>450</v>
      </c>
      <c r="M332" s="96">
        <f>SUM(M334:M343)</f>
        <v>0</v>
      </c>
      <c r="N332" s="136">
        <f t="shared" si="51"/>
        <v>2991.26</v>
      </c>
    </row>
    <row r="333" spans="1:14" ht="13.5" customHeight="1" x14ac:dyDescent="0.25">
      <c r="A333" s="141" t="s">
        <v>37</v>
      </c>
      <c r="B333" s="163"/>
      <c r="C333" s="45"/>
      <c r="D333" s="46"/>
      <c r="E333" s="45"/>
      <c r="F333" s="45"/>
      <c r="G333" s="45"/>
      <c r="H333" s="47"/>
      <c r="I333" s="45"/>
      <c r="J333" s="45"/>
      <c r="K333" s="45"/>
      <c r="L333" s="45"/>
      <c r="M333" s="45"/>
      <c r="N333" s="165"/>
    </row>
    <row r="334" spans="1:14" ht="16.5" customHeight="1" x14ac:dyDescent="0.25">
      <c r="A334" s="140" t="s">
        <v>345</v>
      </c>
      <c r="B334" s="116"/>
      <c r="C334" s="31">
        <v>0</v>
      </c>
      <c r="D334" s="31">
        <v>0</v>
      </c>
      <c r="E334" s="31">
        <f>SUM(C334:D334)</f>
        <v>0</v>
      </c>
      <c r="F334" s="31">
        <v>0</v>
      </c>
      <c r="G334" s="31">
        <v>0</v>
      </c>
      <c r="H334" s="31">
        <f>SUM(E334:G334)</f>
        <v>0</v>
      </c>
      <c r="I334" s="31">
        <v>0</v>
      </c>
      <c r="J334" s="31">
        <v>0</v>
      </c>
      <c r="K334" s="31">
        <f t="shared" si="64"/>
        <v>0</v>
      </c>
      <c r="L334" s="31">
        <v>0</v>
      </c>
      <c r="M334" s="31">
        <v>0</v>
      </c>
      <c r="N334" s="32">
        <f t="shared" si="51"/>
        <v>0</v>
      </c>
    </row>
    <row r="335" spans="1:14" ht="17.25" customHeight="1" x14ac:dyDescent="0.25">
      <c r="A335" s="140" t="s">
        <v>330</v>
      </c>
      <c r="B335" s="116"/>
      <c r="C335" s="31">
        <v>0</v>
      </c>
      <c r="D335" s="31">
        <f>380</f>
        <v>380</v>
      </c>
      <c r="E335" s="31">
        <f t="shared" ref="E335:E343" si="70">SUM(C335:D335)</f>
        <v>380</v>
      </c>
      <c r="F335" s="31">
        <v>0</v>
      </c>
      <c r="G335" s="31">
        <f>1400</f>
        <v>1400</v>
      </c>
      <c r="H335" s="31">
        <f t="shared" ref="H335:H343" si="71">SUM(E335:G335)</f>
        <v>1780</v>
      </c>
      <c r="I335" s="31">
        <v>0</v>
      </c>
      <c r="J335" s="31">
        <v>0</v>
      </c>
      <c r="K335" s="31">
        <f t="shared" si="64"/>
        <v>1780</v>
      </c>
      <c r="L335" s="31">
        <v>0</v>
      </c>
      <c r="M335" s="31">
        <v>0</v>
      </c>
      <c r="N335" s="32">
        <f t="shared" si="51"/>
        <v>1780</v>
      </c>
    </row>
    <row r="336" spans="1:14" ht="27.75" customHeight="1" x14ac:dyDescent="0.25">
      <c r="A336" s="29" t="s">
        <v>346</v>
      </c>
      <c r="B336" s="116" t="s">
        <v>84</v>
      </c>
      <c r="C336" s="31">
        <v>0</v>
      </c>
      <c r="D336" s="31"/>
      <c r="E336" s="31"/>
      <c r="F336" s="31"/>
      <c r="G336" s="31"/>
      <c r="H336" s="31"/>
      <c r="I336" s="31"/>
      <c r="J336" s="31"/>
      <c r="K336" s="31">
        <v>0</v>
      </c>
      <c r="L336" s="31">
        <f>200</f>
        <v>200</v>
      </c>
      <c r="M336" s="31">
        <v>0</v>
      </c>
      <c r="N336" s="32">
        <f t="shared" si="51"/>
        <v>200</v>
      </c>
    </row>
    <row r="337" spans="1:14" ht="27.75" customHeight="1" x14ac:dyDescent="0.25">
      <c r="A337" s="29" t="s">
        <v>347</v>
      </c>
      <c r="B337" s="116" t="s">
        <v>84</v>
      </c>
      <c r="C337" s="31">
        <v>0</v>
      </c>
      <c r="D337" s="31"/>
      <c r="E337" s="31"/>
      <c r="F337" s="31"/>
      <c r="G337" s="31"/>
      <c r="H337" s="31"/>
      <c r="I337" s="31"/>
      <c r="J337" s="31"/>
      <c r="K337" s="31">
        <v>0</v>
      </c>
      <c r="L337" s="31">
        <f>250</f>
        <v>250</v>
      </c>
      <c r="M337" s="31">
        <v>0</v>
      </c>
      <c r="N337" s="32">
        <f t="shared" si="51"/>
        <v>250</v>
      </c>
    </row>
    <row r="338" spans="1:14" ht="26.25" customHeight="1" x14ac:dyDescent="0.25">
      <c r="A338" s="29" t="s">
        <v>348</v>
      </c>
      <c r="B338" s="116" t="s">
        <v>84</v>
      </c>
      <c r="C338" s="31">
        <v>0</v>
      </c>
      <c r="D338" s="31"/>
      <c r="E338" s="31">
        <v>0</v>
      </c>
      <c r="F338" s="31">
        <v>80</v>
      </c>
      <c r="G338" s="31">
        <v>0</v>
      </c>
      <c r="H338" s="31">
        <f t="shared" si="71"/>
        <v>80</v>
      </c>
      <c r="I338" s="31">
        <v>0</v>
      </c>
      <c r="J338" s="31">
        <v>0</v>
      </c>
      <c r="K338" s="31">
        <f t="shared" si="64"/>
        <v>80</v>
      </c>
      <c r="L338" s="31">
        <v>0</v>
      </c>
      <c r="M338" s="31">
        <v>0</v>
      </c>
      <c r="N338" s="32">
        <f t="shared" si="51"/>
        <v>80</v>
      </c>
    </row>
    <row r="339" spans="1:14" ht="31.5" customHeight="1" x14ac:dyDescent="0.25">
      <c r="A339" s="29" t="s">
        <v>349</v>
      </c>
      <c r="B339" s="116" t="s">
        <v>84</v>
      </c>
      <c r="C339" s="31">
        <v>0</v>
      </c>
      <c r="D339" s="31"/>
      <c r="E339" s="31">
        <v>0</v>
      </c>
      <c r="F339" s="31">
        <v>200</v>
      </c>
      <c r="G339" s="31">
        <v>0</v>
      </c>
      <c r="H339" s="31">
        <f t="shared" si="71"/>
        <v>200</v>
      </c>
      <c r="I339" s="31">
        <v>0</v>
      </c>
      <c r="J339" s="31">
        <v>0</v>
      </c>
      <c r="K339" s="31">
        <f t="shared" si="64"/>
        <v>200</v>
      </c>
      <c r="L339" s="31">
        <v>0</v>
      </c>
      <c r="M339" s="31">
        <v>0</v>
      </c>
      <c r="N339" s="32">
        <f t="shared" si="51"/>
        <v>200</v>
      </c>
    </row>
    <row r="340" spans="1:14" ht="27.75" customHeight="1" x14ac:dyDescent="0.25">
      <c r="A340" s="29" t="s">
        <v>350</v>
      </c>
      <c r="B340" s="116" t="s">
        <v>146</v>
      </c>
      <c r="C340" s="31">
        <v>0</v>
      </c>
      <c r="D340" s="31"/>
      <c r="E340" s="31"/>
      <c r="F340" s="31"/>
      <c r="G340" s="31"/>
      <c r="H340" s="31">
        <v>0</v>
      </c>
      <c r="I340" s="31">
        <v>151.26</v>
      </c>
      <c r="J340" s="31">
        <v>0</v>
      </c>
      <c r="K340" s="31">
        <f t="shared" si="64"/>
        <v>151.26</v>
      </c>
      <c r="L340" s="31">
        <v>0</v>
      </c>
      <c r="M340" s="31">
        <v>0</v>
      </c>
      <c r="N340" s="32">
        <f t="shared" si="51"/>
        <v>151.26</v>
      </c>
    </row>
    <row r="341" spans="1:14" ht="32.25" customHeight="1" x14ac:dyDescent="0.25">
      <c r="A341" s="29" t="s">
        <v>351</v>
      </c>
      <c r="B341" s="116" t="s">
        <v>84</v>
      </c>
      <c r="C341" s="31">
        <v>0</v>
      </c>
      <c r="D341" s="31"/>
      <c r="E341" s="31">
        <v>0</v>
      </c>
      <c r="F341" s="31">
        <v>80</v>
      </c>
      <c r="G341" s="31">
        <v>0</v>
      </c>
      <c r="H341" s="31">
        <f t="shared" si="71"/>
        <v>80</v>
      </c>
      <c r="I341" s="31">
        <v>0</v>
      </c>
      <c r="J341" s="31">
        <v>0</v>
      </c>
      <c r="K341" s="31">
        <f t="shared" si="64"/>
        <v>80</v>
      </c>
      <c r="L341" s="31">
        <v>0</v>
      </c>
      <c r="M341" s="31">
        <v>0</v>
      </c>
      <c r="N341" s="32">
        <f t="shared" si="51"/>
        <v>80</v>
      </c>
    </row>
    <row r="342" spans="1:14" ht="78" customHeight="1" x14ac:dyDescent="0.25">
      <c r="A342" s="29" t="s">
        <v>352</v>
      </c>
      <c r="B342" s="144" t="s">
        <v>172</v>
      </c>
      <c r="C342" s="31">
        <v>0</v>
      </c>
      <c r="D342" s="31"/>
      <c r="E342" s="31">
        <v>0</v>
      </c>
      <c r="F342" s="31">
        <v>250</v>
      </c>
      <c r="G342" s="31">
        <v>0</v>
      </c>
      <c r="H342" s="31">
        <f t="shared" si="71"/>
        <v>250</v>
      </c>
      <c r="I342" s="31">
        <v>0</v>
      </c>
      <c r="J342" s="31">
        <v>0</v>
      </c>
      <c r="K342" s="31">
        <f t="shared" si="64"/>
        <v>250</v>
      </c>
      <c r="L342" s="31">
        <v>0</v>
      </c>
      <c r="M342" s="31">
        <v>0</v>
      </c>
      <c r="N342" s="32">
        <f t="shared" si="51"/>
        <v>250</v>
      </c>
    </row>
    <row r="343" spans="1:14" ht="17.25" customHeight="1" thickBot="1" x14ac:dyDescent="0.3">
      <c r="A343" s="141" t="s">
        <v>353</v>
      </c>
      <c r="B343" s="163"/>
      <c r="C343" s="45">
        <v>0</v>
      </c>
      <c r="D343" s="46">
        <v>0</v>
      </c>
      <c r="E343" s="45">
        <f t="shared" si="70"/>
        <v>0</v>
      </c>
      <c r="F343" s="45">
        <v>0</v>
      </c>
      <c r="G343" s="45">
        <v>0</v>
      </c>
      <c r="H343" s="47">
        <f t="shared" si="71"/>
        <v>0</v>
      </c>
      <c r="I343" s="45">
        <v>0</v>
      </c>
      <c r="J343" s="45">
        <v>0</v>
      </c>
      <c r="K343" s="45">
        <f t="shared" si="64"/>
        <v>0</v>
      </c>
      <c r="L343" s="45">
        <v>0</v>
      </c>
      <c r="M343" s="45">
        <v>0</v>
      </c>
      <c r="N343" s="66">
        <f t="shared" ref="N343:N406" si="72">SUM(K343:M343)</f>
        <v>0</v>
      </c>
    </row>
    <row r="344" spans="1:14" ht="16.5" customHeight="1" thickBot="1" x14ac:dyDescent="0.3">
      <c r="A344" s="142" t="s">
        <v>200</v>
      </c>
      <c r="B344" s="135"/>
      <c r="C344" s="96">
        <f>SUM(C346:C348)</f>
        <v>3390</v>
      </c>
      <c r="D344" s="97">
        <f>SUM(D346:D348)</f>
        <v>0</v>
      </c>
      <c r="E344" s="96">
        <f>SUM(C344:D344)</f>
        <v>3390</v>
      </c>
      <c r="F344" s="96">
        <f t="shared" ref="F344:L344" si="73">SUM(F346:F348)</f>
        <v>4156</v>
      </c>
      <c r="G344" s="96">
        <f t="shared" si="73"/>
        <v>300</v>
      </c>
      <c r="H344" s="123">
        <f t="shared" si="73"/>
        <v>7846</v>
      </c>
      <c r="I344" s="96">
        <f t="shared" si="73"/>
        <v>2300</v>
      </c>
      <c r="J344" s="96">
        <f t="shared" si="73"/>
        <v>293</v>
      </c>
      <c r="K344" s="96">
        <f t="shared" si="73"/>
        <v>14811</v>
      </c>
      <c r="L344" s="97">
        <f t="shared" si="73"/>
        <v>0</v>
      </c>
      <c r="M344" s="96">
        <f>SUM(M346:M348)</f>
        <v>118</v>
      </c>
      <c r="N344" s="136">
        <f t="shared" si="72"/>
        <v>14929</v>
      </c>
    </row>
    <row r="345" spans="1:14" ht="15.75" customHeight="1" x14ac:dyDescent="0.25">
      <c r="A345" s="148" t="s">
        <v>37</v>
      </c>
      <c r="B345" s="149"/>
      <c r="C345" s="58"/>
      <c r="D345" s="103"/>
      <c r="E345" s="58"/>
      <c r="F345" s="58"/>
      <c r="G345" s="58"/>
      <c r="H345" s="150"/>
      <c r="I345" s="58"/>
      <c r="J345" s="58"/>
      <c r="K345" s="58"/>
      <c r="L345" s="58"/>
      <c r="M345" s="58"/>
      <c r="N345" s="48"/>
    </row>
    <row r="346" spans="1:14" ht="27" customHeight="1" x14ac:dyDescent="0.25">
      <c r="A346" s="29" t="s">
        <v>354</v>
      </c>
      <c r="B346" s="116"/>
      <c r="C346" s="31">
        <v>0</v>
      </c>
      <c r="D346" s="31">
        <v>0</v>
      </c>
      <c r="E346" s="62">
        <f>SUM(C346:D346)</f>
        <v>0</v>
      </c>
      <c r="F346" s="62">
        <v>0</v>
      </c>
      <c r="G346" s="62">
        <v>0</v>
      </c>
      <c r="H346" s="62">
        <f>SUM(E346:G346)</f>
        <v>0</v>
      </c>
      <c r="I346" s="62">
        <v>0</v>
      </c>
      <c r="J346" s="62">
        <v>0</v>
      </c>
      <c r="K346" s="31">
        <f t="shared" si="64"/>
        <v>0</v>
      </c>
      <c r="L346" s="31">
        <v>0</v>
      </c>
      <c r="M346" s="31">
        <v>0</v>
      </c>
      <c r="N346" s="32">
        <f t="shared" si="72"/>
        <v>0</v>
      </c>
    </row>
    <row r="347" spans="1:14" ht="16.5" customHeight="1" x14ac:dyDescent="0.25">
      <c r="A347" s="140" t="s">
        <v>330</v>
      </c>
      <c r="B347" s="116"/>
      <c r="C347" s="31">
        <v>3390</v>
      </c>
      <c r="D347" s="31">
        <v>0</v>
      </c>
      <c r="E347" s="62">
        <f t="shared" ref="E347:E348" si="74">SUM(C347:D347)</f>
        <v>3390</v>
      </c>
      <c r="F347" s="62">
        <v>4156</v>
      </c>
      <c r="G347" s="62">
        <f>300</f>
        <v>300</v>
      </c>
      <c r="H347" s="62">
        <f t="shared" ref="H347:H348" si="75">SUM(E347:G347)</f>
        <v>7846</v>
      </c>
      <c r="I347" s="62">
        <v>2300</v>
      </c>
      <c r="J347" s="62">
        <f>130+163</f>
        <v>293</v>
      </c>
      <c r="K347" s="31">
        <f>SUM(H347:J347)+4372</f>
        <v>14811</v>
      </c>
      <c r="L347" s="31">
        <v>0</v>
      </c>
      <c r="M347" s="31">
        <f>118</f>
        <v>118</v>
      </c>
      <c r="N347" s="32">
        <f t="shared" si="72"/>
        <v>14929</v>
      </c>
    </row>
    <row r="348" spans="1:14" ht="24.75" customHeight="1" thickBot="1" x14ac:dyDescent="0.3">
      <c r="A348" s="43" t="s">
        <v>355</v>
      </c>
      <c r="B348" s="163"/>
      <c r="C348" s="45">
        <v>0</v>
      </c>
      <c r="D348" s="46">
        <v>0</v>
      </c>
      <c r="E348" s="134">
        <f t="shared" si="74"/>
        <v>0</v>
      </c>
      <c r="F348" s="134">
        <v>0</v>
      </c>
      <c r="G348" s="134">
        <v>0</v>
      </c>
      <c r="H348" s="164">
        <f t="shared" si="75"/>
        <v>0</v>
      </c>
      <c r="I348" s="134">
        <v>0</v>
      </c>
      <c r="J348" s="134">
        <v>0</v>
      </c>
      <c r="K348" s="45">
        <f t="shared" si="64"/>
        <v>0</v>
      </c>
      <c r="L348" s="46">
        <v>0</v>
      </c>
      <c r="M348" s="45">
        <v>0</v>
      </c>
      <c r="N348" s="66">
        <f t="shared" si="72"/>
        <v>0</v>
      </c>
    </row>
    <row r="349" spans="1:14" ht="15.75" customHeight="1" thickBot="1" x14ac:dyDescent="0.3">
      <c r="A349" s="142" t="s">
        <v>210</v>
      </c>
      <c r="B349" s="135"/>
      <c r="C349" s="96">
        <f>SUM(C351:C355)</f>
        <v>3914.71</v>
      </c>
      <c r="D349" s="97">
        <f>SUM(D351:D355)</f>
        <v>0</v>
      </c>
      <c r="E349" s="96">
        <f>SUM(C349:D349)</f>
        <v>3914.71</v>
      </c>
      <c r="F349" s="96">
        <f t="shared" ref="F349:L349" si="76">SUM(F351:F355)</f>
        <v>2550</v>
      </c>
      <c r="G349" s="96">
        <f t="shared" si="76"/>
        <v>-110</v>
      </c>
      <c r="H349" s="123">
        <f t="shared" si="76"/>
        <v>6354.71</v>
      </c>
      <c r="I349" s="96">
        <f t="shared" si="76"/>
        <v>1306</v>
      </c>
      <c r="J349" s="96">
        <f t="shared" si="76"/>
        <v>0</v>
      </c>
      <c r="K349" s="96">
        <f t="shared" si="76"/>
        <v>7660.71</v>
      </c>
      <c r="L349" s="97">
        <f t="shared" si="76"/>
        <v>0</v>
      </c>
      <c r="M349" s="96">
        <f>SUM(M351:M355)</f>
        <v>0</v>
      </c>
      <c r="N349" s="124">
        <f t="shared" si="72"/>
        <v>7660.71</v>
      </c>
    </row>
    <row r="350" spans="1:14" ht="14.25" customHeight="1" x14ac:dyDescent="0.25">
      <c r="A350" s="143" t="s">
        <v>37</v>
      </c>
      <c r="B350" s="160"/>
      <c r="C350" s="27"/>
      <c r="D350" s="109"/>
      <c r="E350" s="27"/>
      <c r="F350" s="27"/>
      <c r="G350" s="27"/>
      <c r="H350" s="159"/>
      <c r="I350" s="27"/>
      <c r="J350" s="27"/>
      <c r="K350" s="27"/>
      <c r="L350" s="109"/>
      <c r="M350" s="27"/>
      <c r="N350" s="184"/>
    </row>
    <row r="351" spans="1:14" ht="27" customHeight="1" x14ac:dyDescent="0.25">
      <c r="A351" s="29" t="s">
        <v>356</v>
      </c>
      <c r="B351" s="151"/>
      <c r="C351" s="31">
        <v>0</v>
      </c>
      <c r="D351" s="114">
        <v>0</v>
      </c>
      <c r="E351" s="62">
        <f>SUM(C351:D351)</f>
        <v>0</v>
      </c>
      <c r="F351" s="62">
        <v>0</v>
      </c>
      <c r="G351" s="62">
        <v>0</v>
      </c>
      <c r="H351" s="178">
        <f>SUM(E351:G351)</f>
        <v>0</v>
      </c>
      <c r="I351" s="62">
        <v>0</v>
      </c>
      <c r="J351" s="62">
        <v>0</v>
      </c>
      <c r="K351" s="31">
        <f t="shared" si="64"/>
        <v>0</v>
      </c>
      <c r="L351" s="114">
        <v>0</v>
      </c>
      <c r="M351" s="31">
        <v>0</v>
      </c>
      <c r="N351" s="66">
        <f t="shared" si="72"/>
        <v>0</v>
      </c>
    </row>
    <row r="352" spans="1:14" ht="18" customHeight="1" x14ac:dyDescent="0.25">
      <c r="A352" s="140" t="s">
        <v>330</v>
      </c>
      <c r="B352" s="151"/>
      <c r="C352" s="31">
        <v>500</v>
      </c>
      <c r="D352" s="114">
        <v>0</v>
      </c>
      <c r="E352" s="62">
        <f t="shared" ref="E352:E355" si="77">SUM(C352:D352)</f>
        <v>500</v>
      </c>
      <c r="F352" s="62">
        <v>2550</v>
      </c>
      <c r="G352" s="62">
        <f>-110</f>
        <v>-110</v>
      </c>
      <c r="H352" s="178">
        <f t="shared" ref="H352:H355" si="78">SUM(E352:G352)</f>
        <v>2940</v>
      </c>
      <c r="I352" s="62">
        <v>1306</v>
      </c>
      <c r="J352" s="62">
        <v>0</v>
      </c>
      <c r="K352" s="31">
        <f t="shared" si="64"/>
        <v>4246</v>
      </c>
      <c r="L352" s="114">
        <v>0</v>
      </c>
      <c r="M352" s="31">
        <v>0</v>
      </c>
      <c r="N352" s="61">
        <f t="shared" si="72"/>
        <v>4246</v>
      </c>
    </row>
    <row r="353" spans="1:14" ht="28.5" customHeight="1" x14ac:dyDescent="0.25">
      <c r="A353" s="29" t="s">
        <v>212</v>
      </c>
      <c r="B353" s="116" t="s">
        <v>213</v>
      </c>
      <c r="C353" s="31">
        <v>1914.71</v>
      </c>
      <c r="D353" s="31">
        <v>0</v>
      </c>
      <c r="E353" s="62">
        <f t="shared" si="77"/>
        <v>1914.71</v>
      </c>
      <c r="F353" s="62">
        <v>0</v>
      </c>
      <c r="G353" s="62">
        <v>0</v>
      </c>
      <c r="H353" s="62">
        <f t="shared" si="78"/>
        <v>1914.71</v>
      </c>
      <c r="I353" s="62">
        <v>0</v>
      </c>
      <c r="J353" s="62">
        <v>0</v>
      </c>
      <c r="K353" s="31">
        <f t="shared" si="64"/>
        <v>1914.71</v>
      </c>
      <c r="L353" s="31">
        <v>0</v>
      </c>
      <c r="M353" s="31">
        <v>0</v>
      </c>
      <c r="N353" s="32">
        <f t="shared" si="72"/>
        <v>1914.71</v>
      </c>
    </row>
    <row r="354" spans="1:14" ht="29.25" customHeight="1" x14ac:dyDescent="0.25">
      <c r="A354" s="29" t="s">
        <v>357</v>
      </c>
      <c r="B354" s="116" t="s">
        <v>358</v>
      </c>
      <c r="C354" s="31">
        <v>1500</v>
      </c>
      <c r="D354" s="31">
        <v>0</v>
      </c>
      <c r="E354" s="62">
        <f t="shared" si="77"/>
        <v>1500</v>
      </c>
      <c r="F354" s="62">
        <v>0</v>
      </c>
      <c r="G354" s="62">
        <v>0</v>
      </c>
      <c r="H354" s="62">
        <f t="shared" si="78"/>
        <v>1500</v>
      </c>
      <c r="I354" s="62">
        <v>0</v>
      </c>
      <c r="J354" s="62">
        <v>0</v>
      </c>
      <c r="K354" s="31">
        <f t="shared" si="64"/>
        <v>1500</v>
      </c>
      <c r="L354" s="31">
        <v>0</v>
      </c>
      <c r="M354" s="31">
        <v>0</v>
      </c>
      <c r="N354" s="32">
        <f t="shared" si="72"/>
        <v>1500</v>
      </c>
    </row>
    <row r="355" spans="1:14" ht="31.5" customHeight="1" thickBot="1" x14ac:dyDescent="0.3">
      <c r="A355" s="43" t="s">
        <v>359</v>
      </c>
      <c r="B355" s="163"/>
      <c r="C355" s="45">
        <v>0</v>
      </c>
      <c r="D355" s="46">
        <v>0</v>
      </c>
      <c r="E355" s="134">
        <f t="shared" si="77"/>
        <v>0</v>
      </c>
      <c r="F355" s="134">
        <v>0</v>
      </c>
      <c r="G355" s="134">
        <v>0</v>
      </c>
      <c r="H355" s="164">
        <f t="shared" si="78"/>
        <v>0</v>
      </c>
      <c r="I355" s="134">
        <v>0</v>
      </c>
      <c r="J355" s="134">
        <v>0</v>
      </c>
      <c r="K355" s="45">
        <f t="shared" si="64"/>
        <v>0</v>
      </c>
      <c r="L355" s="46">
        <v>0</v>
      </c>
      <c r="M355" s="45">
        <v>0</v>
      </c>
      <c r="N355" s="66">
        <f t="shared" si="72"/>
        <v>0</v>
      </c>
    </row>
    <row r="356" spans="1:14" ht="15.75" customHeight="1" thickBot="1" x14ac:dyDescent="0.3">
      <c r="A356" s="142" t="s">
        <v>221</v>
      </c>
      <c r="B356" s="135"/>
      <c r="C356" s="96">
        <f>SUM(C358:C359)</f>
        <v>0</v>
      </c>
      <c r="D356" s="97">
        <f>SUM(D358:D359)</f>
        <v>0</v>
      </c>
      <c r="E356" s="96">
        <f>SUM(C356:D356)</f>
        <v>0</v>
      </c>
      <c r="F356" s="96">
        <f t="shared" ref="F356:L356" si="79">SUM(F358:F359)</f>
        <v>0</v>
      </c>
      <c r="G356" s="96">
        <f t="shared" si="79"/>
        <v>0</v>
      </c>
      <c r="H356" s="123">
        <f t="shared" si="79"/>
        <v>0</v>
      </c>
      <c r="I356" s="96">
        <f t="shared" si="79"/>
        <v>0</v>
      </c>
      <c r="J356" s="96">
        <f t="shared" si="79"/>
        <v>0</v>
      </c>
      <c r="K356" s="96">
        <f t="shared" si="79"/>
        <v>0</v>
      </c>
      <c r="L356" s="97">
        <f t="shared" si="79"/>
        <v>0</v>
      </c>
      <c r="M356" s="96">
        <f>SUM(M358:M359)</f>
        <v>0</v>
      </c>
      <c r="N356" s="136">
        <f t="shared" si="72"/>
        <v>0</v>
      </c>
    </row>
    <row r="357" spans="1:14" ht="15.75" customHeight="1" x14ac:dyDescent="0.25">
      <c r="A357" s="141" t="s">
        <v>37</v>
      </c>
      <c r="B357" s="163"/>
      <c r="C357" s="45"/>
      <c r="D357" s="46"/>
      <c r="E357" s="45"/>
      <c r="F357" s="45"/>
      <c r="G357" s="45"/>
      <c r="H357" s="47"/>
      <c r="I357" s="45"/>
      <c r="J357" s="45"/>
      <c r="K357" s="45"/>
      <c r="L357" s="46"/>
      <c r="M357" s="45"/>
      <c r="N357" s="165"/>
    </row>
    <row r="358" spans="1:14" ht="17.25" customHeight="1" x14ac:dyDescent="0.25">
      <c r="A358" s="140" t="s">
        <v>360</v>
      </c>
      <c r="B358" s="116"/>
      <c r="C358" s="31">
        <v>0</v>
      </c>
      <c r="D358" s="31">
        <v>0</v>
      </c>
      <c r="E358" s="62">
        <f>SUM(C358:D358)</f>
        <v>0</v>
      </c>
      <c r="F358" s="62">
        <v>0</v>
      </c>
      <c r="G358" s="62">
        <v>0</v>
      </c>
      <c r="H358" s="62">
        <f>SUM(E358:G358)</f>
        <v>0</v>
      </c>
      <c r="I358" s="62">
        <v>0</v>
      </c>
      <c r="J358" s="62">
        <v>0</v>
      </c>
      <c r="K358" s="31">
        <f t="shared" si="64"/>
        <v>0</v>
      </c>
      <c r="L358" s="31">
        <v>0</v>
      </c>
      <c r="M358" s="31">
        <v>0</v>
      </c>
      <c r="N358" s="32">
        <f t="shared" si="72"/>
        <v>0</v>
      </c>
    </row>
    <row r="359" spans="1:14" ht="15.75" customHeight="1" thickBot="1" x14ac:dyDescent="0.3">
      <c r="A359" s="147" t="s">
        <v>361</v>
      </c>
      <c r="B359" s="119"/>
      <c r="C359" s="35">
        <v>0</v>
      </c>
      <c r="D359" s="35">
        <v>0</v>
      </c>
      <c r="E359" s="120">
        <f>SUM(C359:D359)</f>
        <v>0</v>
      </c>
      <c r="F359" s="120">
        <v>0</v>
      </c>
      <c r="G359" s="120">
        <v>0</v>
      </c>
      <c r="H359" s="120">
        <f>SUM(E359:G359)</f>
        <v>0</v>
      </c>
      <c r="I359" s="120">
        <v>0</v>
      </c>
      <c r="J359" s="120">
        <v>0</v>
      </c>
      <c r="K359" s="35">
        <f t="shared" si="64"/>
        <v>0</v>
      </c>
      <c r="L359" s="35">
        <v>0</v>
      </c>
      <c r="M359" s="35">
        <v>0</v>
      </c>
      <c r="N359" s="36">
        <f t="shared" si="72"/>
        <v>0</v>
      </c>
    </row>
    <row r="360" spans="1:14" ht="15.75" thickBot="1" x14ac:dyDescent="0.3">
      <c r="A360" s="142" t="s">
        <v>224</v>
      </c>
      <c r="B360" s="135"/>
      <c r="C360" s="96">
        <f>SUM(C362:C364)</f>
        <v>1000</v>
      </c>
      <c r="D360" s="97">
        <f>SUM(D362:D364)</f>
        <v>0</v>
      </c>
      <c r="E360" s="96">
        <f>SUM(C360:D360)</f>
        <v>1000</v>
      </c>
      <c r="F360" s="96">
        <f t="shared" ref="F360:L360" si="80">SUM(F362:F364)</f>
        <v>0</v>
      </c>
      <c r="G360" s="96">
        <f t="shared" si="80"/>
        <v>0</v>
      </c>
      <c r="H360" s="123">
        <f t="shared" si="80"/>
        <v>1000</v>
      </c>
      <c r="I360" s="96">
        <f t="shared" si="80"/>
        <v>0</v>
      </c>
      <c r="J360" s="96">
        <f t="shared" si="80"/>
        <v>0</v>
      </c>
      <c r="K360" s="96">
        <f t="shared" si="80"/>
        <v>1000</v>
      </c>
      <c r="L360" s="97">
        <f t="shared" si="80"/>
        <v>0</v>
      </c>
      <c r="M360" s="96">
        <f>SUM(M362:M364)</f>
        <v>0</v>
      </c>
      <c r="N360" s="124">
        <f t="shared" si="72"/>
        <v>1000</v>
      </c>
    </row>
    <row r="361" spans="1:14" ht="14.25" customHeight="1" x14ac:dyDescent="0.25">
      <c r="A361" s="143" t="s">
        <v>37</v>
      </c>
      <c r="B361" s="160"/>
      <c r="C361" s="27"/>
      <c r="D361" s="109"/>
      <c r="E361" s="27"/>
      <c r="F361" s="27"/>
      <c r="G361" s="27"/>
      <c r="H361" s="159"/>
      <c r="I361" s="27"/>
      <c r="J361" s="27"/>
      <c r="K361" s="27"/>
      <c r="L361" s="109"/>
      <c r="M361" s="27"/>
      <c r="N361" s="184"/>
    </row>
    <row r="362" spans="1:14" ht="15.75" customHeight="1" x14ac:dyDescent="0.25">
      <c r="A362" s="29" t="s">
        <v>362</v>
      </c>
      <c r="B362" s="151"/>
      <c r="C362" s="31">
        <v>0</v>
      </c>
      <c r="D362" s="114">
        <v>0</v>
      </c>
      <c r="E362" s="62">
        <f>SUM(C362:D362)</f>
        <v>0</v>
      </c>
      <c r="F362" s="62">
        <v>0</v>
      </c>
      <c r="G362" s="62">
        <v>0</v>
      </c>
      <c r="H362" s="178">
        <f>SUM(E362:G362)</f>
        <v>0</v>
      </c>
      <c r="I362" s="62">
        <v>0</v>
      </c>
      <c r="J362" s="62">
        <v>0</v>
      </c>
      <c r="K362" s="31">
        <f t="shared" si="64"/>
        <v>0</v>
      </c>
      <c r="L362" s="114">
        <v>0</v>
      </c>
      <c r="M362" s="31">
        <v>0</v>
      </c>
      <c r="N362" s="61">
        <f t="shared" si="72"/>
        <v>0</v>
      </c>
    </row>
    <row r="363" spans="1:14" ht="30.75" customHeight="1" x14ac:dyDescent="0.25">
      <c r="A363" s="29" t="s">
        <v>363</v>
      </c>
      <c r="B363" s="145" t="s">
        <v>84</v>
      </c>
      <c r="C363" s="31">
        <v>1000</v>
      </c>
      <c r="D363" s="114">
        <v>0</v>
      </c>
      <c r="E363" s="62">
        <f t="shared" ref="E363:E364" si="81">SUM(C363:D363)</f>
        <v>1000</v>
      </c>
      <c r="F363" s="62">
        <v>0</v>
      </c>
      <c r="G363" s="62">
        <v>0</v>
      </c>
      <c r="H363" s="178">
        <f t="shared" ref="H363:H364" si="82">SUM(E363:G363)</f>
        <v>1000</v>
      </c>
      <c r="I363" s="62">
        <v>0</v>
      </c>
      <c r="J363" s="62">
        <v>0</v>
      </c>
      <c r="K363" s="31">
        <f t="shared" si="64"/>
        <v>1000</v>
      </c>
      <c r="L363" s="31">
        <v>0</v>
      </c>
      <c r="M363" s="31">
        <v>0</v>
      </c>
      <c r="N363" s="61">
        <f t="shared" si="72"/>
        <v>1000</v>
      </c>
    </row>
    <row r="364" spans="1:14" ht="15.75" thickBot="1" x14ac:dyDescent="0.3">
      <c r="A364" s="141" t="s">
        <v>364</v>
      </c>
      <c r="B364" s="163"/>
      <c r="C364" s="45">
        <v>0</v>
      </c>
      <c r="D364" s="46">
        <v>0</v>
      </c>
      <c r="E364" s="134">
        <f t="shared" si="81"/>
        <v>0</v>
      </c>
      <c r="F364" s="134">
        <v>0</v>
      </c>
      <c r="G364" s="134">
        <v>0</v>
      </c>
      <c r="H364" s="134">
        <f t="shared" si="82"/>
        <v>0</v>
      </c>
      <c r="I364" s="134">
        <v>0</v>
      </c>
      <c r="J364" s="134">
        <v>0</v>
      </c>
      <c r="K364" s="45">
        <f t="shared" si="64"/>
        <v>0</v>
      </c>
      <c r="L364" s="46">
        <v>0</v>
      </c>
      <c r="M364" s="45">
        <v>0</v>
      </c>
      <c r="N364" s="66">
        <f t="shared" si="72"/>
        <v>0</v>
      </c>
    </row>
    <row r="365" spans="1:14" ht="15" customHeight="1" thickBot="1" x14ac:dyDescent="0.3">
      <c r="A365" s="142" t="s">
        <v>274</v>
      </c>
      <c r="B365" s="135"/>
      <c r="C365" s="96">
        <f>SUM(C367:C371)</f>
        <v>307960</v>
      </c>
      <c r="D365" s="97">
        <f>SUM(D367:D371)</f>
        <v>10649</v>
      </c>
      <c r="E365" s="96">
        <f>SUM(C365:D365)</f>
        <v>318609</v>
      </c>
      <c r="F365" s="96">
        <f t="shared" ref="F365:L365" si="83">SUM(F367:F371)</f>
        <v>114656</v>
      </c>
      <c r="G365" s="96">
        <f t="shared" si="83"/>
        <v>-3758</v>
      </c>
      <c r="H365" s="96">
        <f t="shared" si="83"/>
        <v>429123</v>
      </c>
      <c r="I365" s="96">
        <f t="shared" si="83"/>
        <v>-26953</v>
      </c>
      <c r="J365" s="96">
        <f t="shared" si="83"/>
        <v>22217</v>
      </c>
      <c r="K365" s="96">
        <f t="shared" si="83"/>
        <v>430001</v>
      </c>
      <c r="L365" s="97">
        <f t="shared" si="83"/>
        <v>-189</v>
      </c>
      <c r="M365" s="96">
        <f>SUM(M367:M371)</f>
        <v>-9004</v>
      </c>
      <c r="N365" s="136">
        <f t="shared" si="72"/>
        <v>420808</v>
      </c>
    </row>
    <row r="366" spans="1:14" ht="15.75" customHeight="1" x14ac:dyDescent="0.25">
      <c r="A366" s="141" t="s">
        <v>37</v>
      </c>
      <c r="B366" s="163"/>
      <c r="C366" s="45"/>
      <c r="D366" s="46"/>
      <c r="E366" s="45"/>
      <c r="F366" s="45"/>
      <c r="G366" s="45"/>
      <c r="H366" s="47"/>
      <c r="I366" s="45"/>
      <c r="J366" s="45"/>
      <c r="K366" s="45"/>
      <c r="L366" s="46"/>
      <c r="M366" s="45"/>
      <c r="N366" s="165"/>
    </row>
    <row r="367" spans="1:14" ht="17.25" customHeight="1" x14ac:dyDescent="0.25">
      <c r="A367" s="140" t="s">
        <v>365</v>
      </c>
      <c r="B367" s="116"/>
      <c r="C367" s="31">
        <v>21003</v>
      </c>
      <c r="D367" s="31">
        <f>6510</f>
        <v>6510</v>
      </c>
      <c r="E367" s="31">
        <f>SUM(C367:D367)</f>
        <v>27513</v>
      </c>
      <c r="F367" s="31">
        <v>0</v>
      </c>
      <c r="G367" s="31">
        <v>0</v>
      </c>
      <c r="H367" s="31">
        <f>SUM(E367:G367)</f>
        <v>27513</v>
      </c>
      <c r="I367" s="31">
        <v>0</v>
      </c>
      <c r="J367" s="31">
        <v>0</v>
      </c>
      <c r="K367" s="31">
        <f t="shared" si="64"/>
        <v>27513</v>
      </c>
      <c r="L367" s="31">
        <v>0</v>
      </c>
      <c r="M367" s="31">
        <f>-7413</f>
        <v>-7413</v>
      </c>
      <c r="N367" s="32">
        <f t="shared" si="72"/>
        <v>20100</v>
      </c>
    </row>
    <row r="368" spans="1:14" ht="15" customHeight="1" x14ac:dyDescent="0.25">
      <c r="A368" s="140" t="s">
        <v>330</v>
      </c>
      <c r="B368" s="116"/>
      <c r="C368" s="31">
        <v>285957</v>
      </c>
      <c r="D368" s="31">
        <f>6757-2325-293</f>
        <v>4139</v>
      </c>
      <c r="E368" s="31">
        <f>SUM(C368:D368)-254</f>
        <v>289842</v>
      </c>
      <c r="F368" s="31">
        <v>114656</v>
      </c>
      <c r="G368" s="31">
        <f>407-665-3500</f>
        <v>-3758</v>
      </c>
      <c r="H368" s="31">
        <f>SUM(E368:G368)-130</f>
        <v>400610</v>
      </c>
      <c r="I368" s="31">
        <v>-26953</v>
      </c>
      <c r="J368" s="31">
        <f>1423+20794</f>
        <v>22217</v>
      </c>
      <c r="K368" s="31">
        <f>SUM(H368:J368)+1000+5614</f>
        <v>402488</v>
      </c>
      <c r="L368" s="31">
        <f>-189</f>
        <v>-189</v>
      </c>
      <c r="M368" s="31">
        <f>-500-1091</f>
        <v>-1591</v>
      </c>
      <c r="N368" s="32">
        <f t="shared" si="72"/>
        <v>400708</v>
      </c>
    </row>
    <row r="369" spans="1:14" ht="27" customHeight="1" x14ac:dyDescent="0.25">
      <c r="A369" s="29" t="s">
        <v>366</v>
      </c>
      <c r="B369" s="116"/>
      <c r="C369" s="31">
        <v>1000</v>
      </c>
      <c r="D369" s="31">
        <v>0</v>
      </c>
      <c r="E369" s="31">
        <f t="shared" ref="E369:E371" si="84">SUM(C369:D369)</f>
        <v>1000</v>
      </c>
      <c r="F369" s="31">
        <v>0</v>
      </c>
      <c r="G369" s="31">
        <v>0</v>
      </c>
      <c r="H369" s="31">
        <f t="shared" ref="H369:H371" si="85">SUM(E369:G369)</f>
        <v>1000</v>
      </c>
      <c r="I369" s="31">
        <v>0</v>
      </c>
      <c r="J369" s="31">
        <v>0</v>
      </c>
      <c r="K369" s="31">
        <f>SUM(H369:J369)-1000</f>
        <v>0</v>
      </c>
      <c r="L369" s="31">
        <v>0</v>
      </c>
      <c r="M369" s="31">
        <v>0</v>
      </c>
      <c r="N369" s="32">
        <f t="shared" si="72"/>
        <v>0</v>
      </c>
    </row>
    <row r="370" spans="1:14" ht="15.75" customHeight="1" x14ac:dyDescent="0.25">
      <c r="A370" s="140" t="s">
        <v>367</v>
      </c>
      <c r="B370" s="116"/>
      <c r="C370" s="31">
        <v>0</v>
      </c>
      <c r="D370" s="31">
        <v>0</v>
      </c>
      <c r="E370" s="31">
        <f t="shared" si="84"/>
        <v>0</v>
      </c>
      <c r="F370" s="31">
        <v>0</v>
      </c>
      <c r="G370" s="31">
        <v>0</v>
      </c>
      <c r="H370" s="31">
        <f t="shared" si="85"/>
        <v>0</v>
      </c>
      <c r="I370" s="31">
        <v>0</v>
      </c>
      <c r="J370" s="31">
        <v>0</v>
      </c>
      <c r="K370" s="31">
        <f t="shared" si="64"/>
        <v>0</v>
      </c>
      <c r="L370" s="31">
        <v>0</v>
      </c>
      <c r="M370" s="31">
        <v>0</v>
      </c>
      <c r="N370" s="32">
        <f t="shared" si="72"/>
        <v>0</v>
      </c>
    </row>
    <row r="371" spans="1:14" ht="15.75" customHeight="1" thickBot="1" x14ac:dyDescent="0.3">
      <c r="A371" s="147" t="s">
        <v>368</v>
      </c>
      <c r="B371" s="119"/>
      <c r="C371" s="35">
        <v>0</v>
      </c>
      <c r="D371" s="35">
        <v>0</v>
      </c>
      <c r="E371" s="35">
        <f t="shared" si="84"/>
        <v>0</v>
      </c>
      <c r="F371" s="35">
        <v>0</v>
      </c>
      <c r="G371" s="35">
        <v>0</v>
      </c>
      <c r="H371" s="35">
        <f t="shared" si="85"/>
        <v>0</v>
      </c>
      <c r="I371" s="35">
        <v>0</v>
      </c>
      <c r="J371" s="35">
        <v>0</v>
      </c>
      <c r="K371" s="35">
        <f t="shared" si="64"/>
        <v>0</v>
      </c>
      <c r="L371" s="35">
        <v>0</v>
      </c>
      <c r="M371" s="35">
        <v>0</v>
      </c>
      <c r="N371" s="36">
        <f t="shared" si="72"/>
        <v>0</v>
      </c>
    </row>
    <row r="372" spans="1:14" ht="15.75" customHeight="1" thickBot="1" x14ac:dyDescent="0.3">
      <c r="A372" s="142" t="s">
        <v>277</v>
      </c>
      <c r="B372" s="135"/>
      <c r="C372" s="96">
        <f>SUM(C374:C380)</f>
        <v>6500</v>
      </c>
      <c r="D372" s="97">
        <f>SUM(D374:D380)</f>
        <v>0</v>
      </c>
      <c r="E372" s="96">
        <f>SUM(C372:D372)</f>
        <v>6500</v>
      </c>
      <c r="F372" s="96">
        <f t="shared" ref="F372:L372" si="86">SUM(F374:F380)</f>
        <v>-847.83</v>
      </c>
      <c r="G372" s="96">
        <f t="shared" si="86"/>
        <v>-92.300000000000011</v>
      </c>
      <c r="H372" s="123">
        <f t="shared" si="86"/>
        <v>5559.87</v>
      </c>
      <c r="I372" s="96">
        <f t="shared" si="86"/>
        <v>-2118.1</v>
      </c>
      <c r="J372" s="96">
        <f t="shared" si="86"/>
        <v>-447.7</v>
      </c>
      <c r="K372" s="96">
        <f t="shared" si="86"/>
        <v>3091.67</v>
      </c>
      <c r="L372" s="97">
        <f t="shared" si="86"/>
        <v>-150</v>
      </c>
      <c r="M372" s="96">
        <f>SUM(M374:M380)</f>
        <v>-39.199999999999989</v>
      </c>
      <c r="N372" s="124">
        <f t="shared" si="72"/>
        <v>2902.4700000000003</v>
      </c>
    </row>
    <row r="373" spans="1:14" ht="15" customHeight="1" x14ac:dyDescent="0.25">
      <c r="A373" s="143" t="s">
        <v>37</v>
      </c>
      <c r="B373" s="160"/>
      <c r="C373" s="27"/>
      <c r="D373" s="109"/>
      <c r="E373" s="27"/>
      <c r="F373" s="27"/>
      <c r="G373" s="27"/>
      <c r="H373" s="159"/>
      <c r="I373" s="27"/>
      <c r="J373" s="27"/>
      <c r="K373" s="27"/>
      <c r="L373" s="109"/>
      <c r="M373" s="27"/>
      <c r="N373" s="184"/>
    </row>
    <row r="374" spans="1:14" ht="30" customHeight="1" x14ac:dyDescent="0.25">
      <c r="A374" s="25" t="s">
        <v>369</v>
      </c>
      <c r="B374" s="158"/>
      <c r="C374" s="27">
        <v>0</v>
      </c>
      <c r="D374" s="109">
        <v>0</v>
      </c>
      <c r="E374" s="161">
        <f>SUM(C374:D374)</f>
        <v>0</v>
      </c>
      <c r="F374" s="161">
        <v>0</v>
      </c>
      <c r="G374" s="161">
        <v>0</v>
      </c>
      <c r="H374" s="162">
        <f>SUM(E374:G374)</f>
        <v>0</v>
      </c>
      <c r="I374" s="161">
        <v>0</v>
      </c>
      <c r="J374" s="161">
        <v>0</v>
      </c>
      <c r="K374" s="27">
        <f t="shared" si="64"/>
        <v>0</v>
      </c>
      <c r="L374" s="109">
        <v>0</v>
      </c>
      <c r="M374" s="27">
        <v>0</v>
      </c>
      <c r="N374" s="66">
        <f t="shared" si="72"/>
        <v>0</v>
      </c>
    </row>
    <row r="375" spans="1:14" ht="30.75" customHeight="1" x14ac:dyDescent="0.25">
      <c r="A375" s="29" t="s">
        <v>370</v>
      </c>
      <c r="B375" s="185" t="s">
        <v>371</v>
      </c>
      <c r="C375" s="31">
        <v>5000</v>
      </c>
      <c r="D375" s="31">
        <v>0</v>
      </c>
      <c r="E375" s="62">
        <f t="shared" ref="E375:E380" si="87">SUM(C375:D375)</f>
        <v>5000</v>
      </c>
      <c r="F375" s="62">
        <v>-1050</v>
      </c>
      <c r="G375" s="62">
        <v>0</v>
      </c>
      <c r="H375" s="62">
        <f t="shared" ref="H375:H380" si="88">SUM(E375:G375)</f>
        <v>3950</v>
      </c>
      <c r="I375" s="62">
        <v>-2318.1</v>
      </c>
      <c r="J375" s="62">
        <v>0</v>
      </c>
      <c r="K375" s="31">
        <f t="shared" si="64"/>
        <v>1631.9</v>
      </c>
      <c r="L375" s="31">
        <f>-150</f>
        <v>-150</v>
      </c>
      <c r="M375" s="31">
        <v>0</v>
      </c>
      <c r="N375" s="32">
        <f t="shared" si="72"/>
        <v>1481.9</v>
      </c>
    </row>
    <row r="376" spans="1:14" ht="15.75" customHeight="1" x14ac:dyDescent="0.25">
      <c r="A376" s="140" t="s">
        <v>372</v>
      </c>
      <c r="B376" s="116"/>
      <c r="C376" s="31">
        <v>1000</v>
      </c>
      <c r="D376" s="31">
        <v>0</v>
      </c>
      <c r="E376" s="62">
        <f t="shared" si="87"/>
        <v>1000</v>
      </c>
      <c r="F376" s="62">
        <v>0</v>
      </c>
      <c r="G376" s="62">
        <f>-157.3</f>
        <v>-157.30000000000001</v>
      </c>
      <c r="H376" s="62">
        <f t="shared" si="88"/>
        <v>842.7</v>
      </c>
      <c r="I376" s="62">
        <v>0</v>
      </c>
      <c r="J376" s="62">
        <f>-326.7-121</f>
        <v>-447.7</v>
      </c>
      <c r="K376" s="31">
        <f>SUM(H376:J376)-229.9</f>
        <v>165.10000000000005</v>
      </c>
      <c r="L376" s="31">
        <v>0</v>
      </c>
      <c r="M376" s="31">
        <f>110.59</f>
        <v>110.59</v>
      </c>
      <c r="N376" s="32">
        <f t="shared" si="72"/>
        <v>275.69000000000005</v>
      </c>
    </row>
    <row r="377" spans="1:14" ht="15" customHeight="1" x14ac:dyDescent="0.25">
      <c r="A377" s="140" t="s">
        <v>330</v>
      </c>
      <c r="B377" s="116"/>
      <c r="C377" s="31">
        <v>500</v>
      </c>
      <c r="D377" s="31">
        <v>0</v>
      </c>
      <c r="E377" s="62">
        <f t="shared" si="87"/>
        <v>500</v>
      </c>
      <c r="F377" s="62">
        <v>0</v>
      </c>
      <c r="G377" s="62">
        <f>27+38</f>
        <v>65</v>
      </c>
      <c r="H377" s="62">
        <f t="shared" si="88"/>
        <v>565</v>
      </c>
      <c r="I377" s="62">
        <v>0</v>
      </c>
      <c r="J377" s="62">
        <v>0</v>
      </c>
      <c r="K377" s="31">
        <f>SUM(H377:J377)+25+302.5</f>
        <v>892.5</v>
      </c>
      <c r="L377" s="31">
        <v>0</v>
      </c>
      <c r="M377" s="31">
        <f>-154.39+4.6</f>
        <v>-149.79</v>
      </c>
      <c r="N377" s="32">
        <f t="shared" si="72"/>
        <v>742.71</v>
      </c>
    </row>
    <row r="378" spans="1:14" ht="40.5" customHeight="1" x14ac:dyDescent="0.25">
      <c r="A378" s="29" t="s">
        <v>373</v>
      </c>
      <c r="B378" s="116"/>
      <c r="C378" s="31">
        <v>0</v>
      </c>
      <c r="D378" s="31"/>
      <c r="E378" s="62">
        <v>0</v>
      </c>
      <c r="F378" s="62">
        <v>202.17</v>
      </c>
      <c r="G378" s="62">
        <v>0</v>
      </c>
      <c r="H378" s="62">
        <f t="shared" si="88"/>
        <v>202.17</v>
      </c>
      <c r="I378" s="62">
        <v>0</v>
      </c>
      <c r="J378" s="62">
        <v>0</v>
      </c>
      <c r="K378" s="31">
        <f t="shared" si="64"/>
        <v>202.17</v>
      </c>
      <c r="L378" s="31">
        <v>0</v>
      </c>
      <c r="M378" s="31">
        <v>0</v>
      </c>
      <c r="N378" s="32">
        <f t="shared" si="72"/>
        <v>202.17</v>
      </c>
    </row>
    <row r="379" spans="1:14" ht="29.25" customHeight="1" x14ac:dyDescent="0.25">
      <c r="A379" s="29" t="s">
        <v>374</v>
      </c>
      <c r="B379" s="116"/>
      <c r="C379" s="31">
        <v>0</v>
      </c>
      <c r="D379" s="31"/>
      <c r="E379" s="62"/>
      <c r="F379" s="62"/>
      <c r="G379" s="62"/>
      <c r="H379" s="62">
        <v>0</v>
      </c>
      <c r="I379" s="62">
        <v>200</v>
      </c>
      <c r="J379" s="62">
        <v>0</v>
      </c>
      <c r="K379" s="31">
        <f t="shared" si="64"/>
        <v>200</v>
      </c>
      <c r="L379" s="31">
        <v>0</v>
      </c>
      <c r="M379" s="31">
        <v>0</v>
      </c>
      <c r="N379" s="32">
        <f t="shared" si="72"/>
        <v>200</v>
      </c>
    </row>
    <row r="380" spans="1:14" ht="26.25" customHeight="1" thickBot="1" x14ac:dyDescent="0.3">
      <c r="A380" s="33" t="s">
        <v>375</v>
      </c>
      <c r="B380" s="119"/>
      <c r="C380" s="120">
        <v>0</v>
      </c>
      <c r="D380" s="35">
        <v>0</v>
      </c>
      <c r="E380" s="120">
        <f t="shared" si="87"/>
        <v>0</v>
      </c>
      <c r="F380" s="120">
        <v>0</v>
      </c>
      <c r="G380" s="120">
        <v>0</v>
      </c>
      <c r="H380" s="120">
        <f t="shared" si="88"/>
        <v>0</v>
      </c>
      <c r="I380" s="120">
        <v>0</v>
      </c>
      <c r="J380" s="120">
        <v>0</v>
      </c>
      <c r="K380" s="35">
        <f t="shared" ref="K380:K405" si="89">SUM(H380:J380)</f>
        <v>0</v>
      </c>
      <c r="L380" s="35">
        <v>0</v>
      </c>
      <c r="M380" s="35">
        <v>0</v>
      </c>
      <c r="N380" s="36">
        <f t="shared" si="72"/>
        <v>0</v>
      </c>
    </row>
    <row r="381" spans="1:14" ht="16.5" customHeight="1" thickBot="1" x14ac:dyDescent="0.3">
      <c r="A381" s="142" t="s">
        <v>304</v>
      </c>
      <c r="B381" s="135"/>
      <c r="C381" s="96">
        <f>SUM(C383:C384)</f>
        <v>850</v>
      </c>
      <c r="D381" s="97">
        <f>SUM(D383:D384)</f>
        <v>0</v>
      </c>
      <c r="E381" s="177">
        <f>SUM(C381:D381)</f>
        <v>850</v>
      </c>
      <c r="F381" s="177">
        <f t="shared" ref="F381:L381" si="90">SUM(F383:F384)</f>
        <v>0</v>
      </c>
      <c r="G381" s="177">
        <f t="shared" si="90"/>
        <v>0</v>
      </c>
      <c r="H381" s="186">
        <f t="shared" si="90"/>
        <v>850</v>
      </c>
      <c r="I381" s="177">
        <f t="shared" si="90"/>
        <v>0</v>
      </c>
      <c r="J381" s="177">
        <f t="shared" si="90"/>
        <v>0</v>
      </c>
      <c r="K381" s="96">
        <f t="shared" si="90"/>
        <v>850</v>
      </c>
      <c r="L381" s="97">
        <f t="shared" si="90"/>
        <v>0</v>
      </c>
      <c r="M381" s="96">
        <f>SUM(M383:M384)</f>
        <v>0</v>
      </c>
      <c r="N381" s="124">
        <f t="shared" si="72"/>
        <v>850</v>
      </c>
    </row>
    <row r="382" spans="1:14" ht="14.25" customHeight="1" x14ac:dyDescent="0.25">
      <c r="A382" s="141" t="s">
        <v>37</v>
      </c>
      <c r="B382" s="163"/>
      <c r="C382" s="45"/>
      <c r="D382" s="46"/>
      <c r="E382" s="45"/>
      <c r="F382" s="45"/>
      <c r="G382" s="45"/>
      <c r="H382" s="47"/>
      <c r="I382" s="45"/>
      <c r="J382" s="45"/>
      <c r="K382" s="45"/>
      <c r="L382" s="46"/>
      <c r="M382" s="45"/>
      <c r="N382" s="165"/>
    </row>
    <row r="383" spans="1:14" ht="17.25" customHeight="1" x14ac:dyDescent="0.25">
      <c r="A383" s="140" t="s">
        <v>376</v>
      </c>
      <c r="B383" s="116"/>
      <c r="C383" s="31">
        <v>0</v>
      </c>
      <c r="D383" s="31">
        <v>0</v>
      </c>
      <c r="E383" s="62">
        <f>SUM(C383:D383)</f>
        <v>0</v>
      </c>
      <c r="F383" s="62">
        <v>0</v>
      </c>
      <c r="G383" s="62">
        <v>0</v>
      </c>
      <c r="H383" s="62">
        <f>SUM(E383:G383)</f>
        <v>0</v>
      </c>
      <c r="I383" s="62">
        <v>0</v>
      </c>
      <c r="J383" s="62">
        <v>0</v>
      </c>
      <c r="K383" s="31">
        <f t="shared" si="89"/>
        <v>0</v>
      </c>
      <c r="L383" s="31">
        <v>0</v>
      </c>
      <c r="M383" s="31">
        <v>0</v>
      </c>
      <c r="N383" s="32">
        <f t="shared" si="72"/>
        <v>0</v>
      </c>
    </row>
    <row r="384" spans="1:14" ht="16.5" customHeight="1" thickBot="1" x14ac:dyDescent="0.3">
      <c r="A384" s="147" t="s">
        <v>330</v>
      </c>
      <c r="B384" s="119"/>
      <c r="C384" s="35">
        <v>850</v>
      </c>
      <c r="D384" s="35">
        <v>0</v>
      </c>
      <c r="E384" s="120">
        <f>SUM(C384:D384)</f>
        <v>850</v>
      </c>
      <c r="F384" s="120">
        <v>0</v>
      </c>
      <c r="G384" s="120">
        <v>0</v>
      </c>
      <c r="H384" s="120">
        <f>SUM(E384:G384)</f>
        <v>850</v>
      </c>
      <c r="I384" s="120">
        <v>0</v>
      </c>
      <c r="J384" s="120">
        <v>0</v>
      </c>
      <c r="K384" s="35">
        <f t="shared" si="89"/>
        <v>850</v>
      </c>
      <c r="L384" s="35">
        <v>0</v>
      </c>
      <c r="M384" s="35">
        <v>0</v>
      </c>
      <c r="N384" s="36">
        <f t="shared" si="72"/>
        <v>850</v>
      </c>
    </row>
    <row r="385" spans="1:14" ht="14.25" customHeight="1" thickBot="1" x14ac:dyDescent="0.3">
      <c r="A385" s="142" t="s">
        <v>307</v>
      </c>
      <c r="B385" s="135"/>
      <c r="C385" s="96">
        <f>SUM(C387:C388)</f>
        <v>3342</v>
      </c>
      <c r="D385" s="97">
        <f>SUM(D387:D388)</f>
        <v>-595</v>
      </c>
      <c r="E385" s="96">
        <f>SUM(C385:D385)</f>
        <v>2747</v>
      </c>
      <c r="F385" s="96">
        <f t="shared" ref="F385:L385" si="91">SUM(F387:F388)</f>
        <v>1500</v>
      </c>
      <c r="G385" s="96">
        <f t="shared" si="91"/>
        <v>-95</v>
      </c>
      <c r="H385" s="123">
        <f t="shared" si="91"/>
        <v>4152</v>
      </c>
      <c r="I385" s="96">
        <f t="shared" si="91"/>
        <v>1093</v>
      </c>
      <c r="J385" s="96">
        <f t="shared" si="91"/>
        <v>-16.700000000000003</v>
      </c>
      <c r="K385" s="96">
        <f t="shared" si="91"/>
        <v>4138.3</v>
      </c>
      <c r="L385" s="97">
        <f t="shared" si="91"/>
        <v>0</v>
      </c>
      <c r="M385" s="96">
        <f>SUM(M387:M388)</f>
        <v>-149</v>
      </c>
      <c r="N385" s="124">
        <f t="shared" si="72"/>
        <v>3989.3</v>
      </c>
    </row>
    <row r="386" spans="1:14" x14ac:dyDescent="0.25">
      <c r="A386" s="143" t="s">
        <v>37</v>
      </c>
      <c r="B386" s="126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8"/>
    </row>
    <row r="387" spans="1:14" ht="28.5" customHeight="1" x14ac:dyDescent="0.25">
      <c r="A387" s="29" t="s">
        <v>377</v>
      </c>
      <c r="B387" s="116"/>
      <c r="C387" s="31">
        <v>0</v>
      </c>
      <c r="D387" s="31">
        <v>0</v>
      </c>
      <c r="E387" s="62">
        <f>SUM(C387:D387)</f>
        <v>0</v>
      </c>
      <c r="F387" s="62">
        <v>0</v>
      </c>
      <c r="G387" s="62">
        <v>0</v>
      </c>
      <c r="H387" s="62">
        <f>SUM(E387:G387)</f>
        <v>0</v>
      </c>
      <c r="I387" s="62">
        <v>0</v>
      </c>
      <c r="J387" s="62">
        <v>0</v>
      </c>
      <c r="K387" s="31">
        <f t="shared" si="89"/>
        <v>0</v>
      </c>
      <c r="L387" s="31">
        <v>0</v>
      </c>
      <c r="M387" s="31">
        <v>0</v>
      </c>
      <c r="N387" s="32">
        <f t="shared" si="72"/>
        <v>0</v>
      </c>
    </row>
    <row r="388" spans="1:14" ht="15.75" customHeight="1" thickBot="1" x14ac:dyDescent="0.3">
      <c r="A388" s="147" t="s">
        <v>330</v>
      </c>
      <c r="B388" s="119"/>
      <c r="C388" s="35">
        <v>3342</v>
      </c>
      <c r="D388" s="35">
        <f>205-800</f>
        <v>-595</v>
      </c>
      <c r="E388" s="120">
        <f>SUM(C388:D388)</f>
        <v>2747</v>
      </c>
      <c r="F388" s="120">
        <v>1500</v>
      </c>
      <c r="G388" s="120">
        <f>54-149</f>
        <v>-95</v>
      </c>
      <c r="H388" s="120">
        <f>SUM(E388:G388)</f>
        <v>4152</v>
      </c>
      <c r="I388" s="120">
        <v>1093</v>
      </c>
      <c r="J388" s="120">
        <f>54.3-21-50</f>
        <v>-16.700000000000003</v>
      </c>
      <c r="K388" s="35">
        <f>SUM(H388:J388)-1090</f>
        <v>4138.3</v>
      </c>
      <c r="L388" s="35">
        <v>0</v>
      </c>
      <c r="M388" s="35">
        <f>-149</f>
        <v>-149</v>
      </c>
      <c r="N388" s="36">
        <f t="shared" si="72"/>
        <v>3989.3</v>
      </c>
    </row>
    <row r="389" spans="1:14" ht="15.75" customHeight="1" thickBot="1" x14ac:dyDescent="0.3">
      <c r="A389" s="166" t="s">
        <v>310</v>
      </c>
      <c r="B389" s="135"/>
      <c r="C389" s="96">
        <f>SUM(C391:C393)</f>
        <v>23190.41</v>
      </c>
      <c r="D389" s="97">
        <f>SUM(D391:D393)</f>
        <v>0</v>
      </c>
      <c r="E389" s="96">
        <f>SUM(C389:D389)</f>
        <v>23190.41</v>
      </c>
      <c r="F389" s="96">
        <f t="shared" ref="F389:L389" si="92">SUM(F391:F393)</f>
        <v>0</v>
      </c>
      <c r="G389" s="96">
        <f t="shared" si="92"/>
        <v>48</v>
      </c>
      <c r="H389" s="123">
        <f t="shared" si="92"/>
        <v>23238.41</v>
      </c>
      <c r="I389" s="96">
        <f t="shared" si="92"/>
        <v>5120</v>
      </c>
      <c r="J389" s="96">
        <f t="shared" si="92"/>
        <v>-415.56</v>
      </c>
      <c r="K389" s="96">
        <f t="shared" si="92"/>
        <v>27942.85</v>
      </c>
      <c r="L389" s="96">
        <f t="shared" si="92"/>
        <v>0</v>
      </c>
      <c r="M389" s="96">
        <f>SUM(M391:M393)</f>
        <v>65</v>
      </c>
      <c r="N389" s="124">
        <f t="shared" si="72"/>
        <v>28007.85</v>
      </c>
    </row>
    <row r="390" spans="1:14" ht="15.75" customHeight="1" x14ac:dyDescent="0.25">
      <c r="A390" s="143" t="s">
        <v>37</v>
      </c>
      <c r="B390" s="126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8"/>
    </row>
    <row r="391" spans="1:14" ht="25.5" customHeight="1" x14ac:dyDescent="0.25">
      <c r="A391" s="29" t="s">
        <v>378</v>
      </c>
      <c r="B391" s="116"/>
      <c r="C391" s="62">
        <v>0</v>
      </c>
      <c r="D391" s="62">
        <v>0</v>
      </c>
      <c r="E391" s="62">
        <f>SUM(C391:D391)</f>
        <v>0</v>
      </c>
      <c r="F391" s="62">
        <v>0</v>
      </c>
      <c r="G391" s="62">
        <v>0</v>
      </c>
      <c r="H391" s="62">
        <f>SUM(E391:G391)</f>
        <v>0</v>
      </c>
      <c r="I391" s="62">
        <v>0</v>
      </c>
      <c r="J391" s="62">
        <v>0</v>
      </c>
      <c r="K391" s="31">
        <f t="shared" si="89"/>
        <v>0</v>
      </c>
      <c r="L391" s="31">
        <v>0</v>
      </c>
      <c r="M391" s="31">
        <v>0</v>
      </c>
      <c r="N391" s="32">
        <f t="shared" si="72"/>
        <v>0</v>
      </c>
    </row>
    <row r="392" spans="1:14" ht="15.75" customHeight="1" x14ac:dyDescent="0.25">
      <c r="A392" s="140" t="s">
        <v>330</v>
      </c>
      <c r="B392" s="116"/>
      <c r="C392" s="31">
        <v>22440.41</v>
      </c>
      <c r="D392" s="62">
        <v>0</v>
      </c>
      <c r="E392" s="62">
        <f t="shared" ref="E392:E393" si="93">SUM(C392:D392)</f>
        <v>22440.41</v>
      </c>
      <c r="F392" s="62">
        <v>0</v>
      </c>
      <c r="G392" s="62">
        <f>48</f>
        <v>48</v>
      </c>
      <c r="H392" s="62">
        <f t="shared" ref="H392:H393" si="94">SUM(E392:G392)</f>
        <v>22488.41</v>
      </c>
      <c r="I392" s="62">
        <v>5120</v>
      </c>
      <c r="J392" s="62">
        <f>-415.56</f>
        <v>-415.56</v>
      </c>
      <c r="K392" s="31">
        <f t="shared" si="89"/>
        <v>27192.85</v>
      </c>
      <c r="L392" s="31">
        <v>0</v>
      </c>
      <c r="M392" s="31">
        <f>65</f>
        <v>65</v>
      </c>
      <c r="N392" s="32">
        <f t="shared" si="72"/>
        <v>27257.85</v>
      </c>
    </row>
    <row r="393" spans="1:14" ht="27.75" customHeight="1" thickBot="1" x14ac:dyDescent="0.3">
      <c r="A393" s="187" t="s">
        <v>379</v>
      </c>
      <c r="B393" s="188" t="s">
        <v>84</v>
      </c>
      <c r="C393" s="45">
        <v>750</v>
      </c>
      <c r="D393" s="189">
        <v>0</v>
      </c>
      <c r="E393" s="134">
        <f t="shared" si="93"/>
        <v>750</v>
      </c>
      <c r="F393" s="134">
        <v>0</v>
      </c>
      <c r="G393" s="134">
        <v>0</v>
      </c>
      <c r="H393" s="164">
        <f t="shared" si="94"/>
        <v>750</v>
      </c>
      <c r="I393" s="134">
        <v>0</v>
      </c>
      <c r="J393" s="134">
        <v>0</v>
      </c>
      <c r="K393" s="45">
        <f t="shared" si="89"/>
        <v>750</v>
      </c>
      <c r="L393" s="45">
        <v>0</v>
      </c>
      <c r="M393" s="45">
        <v>0</v>
      </c>
      <c r="N393" s="66">
        <f t="shared" si="72"/>
        <v>750</v>
      </c>
    </row>
    <row r="394" spans="1:14" ht="16.5" customHeight="1" thickBot="1" x14ac:dyDescent="0.3">
      <c r="A394" s="167" t="s">
        <v>380</v>
      </c>
      <c r="B394" s="190"/>
      <c r="C394" s="169">
        <f>SUM(C302+C306+C312+C323+C328+C332+C344+C349+C356+C360+C365+C372+C381+C385+C389)</f>
        <v>365282.12</v>
      </c>
      <c r="D394" s="191">
        <f>SUM(D302+D306+D312+D323+D328+D332+D344+D349+D356+D360+D365+D372+D381+D385+D389)</f>
        <v>17951</v>
      </c>
      <c r="E394" s="169">
        <f>SUM(C394:D394)</f>
        <v>383233.12</v>
      </c>
      <c r="F394" s="169">
        <f>F302+F306+F312+F323+F328+F332+F344+F349+F356+F360+F365+F372+F381+F385+F389</f>
        <v>156974.36000000002</v>
      </c>
      <c r="G394" s="169">
        <f>SUM(G302+G306+G312+G323+G328+G332+G344+G349+G356+G360+G365+G372+G381+G385+G389)</f>
        <v>5138.7</v>
      </c>
      <c r="H394" s="192">
        <f>H302+H306+H312+H323+H328+H332+H344+H349+H356+H360+H365+H372+H381+H385+H389</f>
        <v>545036.48</v>
      </c>
      <c r="I394" s="169">
        <f>I302+I306+I312+I323+I328+I332+I344+I349+I356+I360+I365+I372+I381+I385+I389</f>
        <v>28108.530000000006</v>
      </c>
      <c r="J394" s="169">
        <f>SUM(J302+J306+J312+J323+J328+J332+J344+J349+J356+J360+J365+J372+J381+J385+J389)</f>
        <v>21197.639999999996</v>
      </c>
      <c r="K394" s="169">
        <f>SUM(K302+K306+K312+K323+K328+K332+K344+K349+K356+K360+K365+K372+K381+K385+K389)</f>
        <v>595149.25000000012</v>
      </c>
      <c r="L394" s="169">
        <f>SUM(L302+L306+L312+L323+L328+L332+L344+L349+L356+L360+L365+L372+L381+L385+L389)</f>
        <v>5473</v>
      </c>
      <c r="M394" s="169">
        <f>SUM(M302+M306+M312+M323+M328+M332+M344+M349+M356+M360+M365+M372+M381+M385+M389)</f>
        <v>-11795.2</v>
      </c>
      <c r="N394" s="193">
        <f>SUM(N302+N306+N312+N323+N328+N332+N344+N349+N356+N360+N365+N372+N381+N385+N389)</f>
        <v>588827.04999999993</v>
      </c>
    </row>
    <row r="395" spans="1:14" ht="16.5" customHeight="1" thickBot="1" x14ac:dyDescent="0.3">
      <c r="A395" s="194" t="s">
        <v>381</v>
      </c>
      <c r="B395" s="195"/>
      <c r="C395" s="196">
        <f>C299+C394</f>
        <v>1623178.85</v>
      </c>
      <c r="D395" s="197">
        <f>D299+D394</f>
        <v>9468.98</v>
      </c>
      <c r="E395" s="196">
        <f>SUM(C395:D395)</f>
        <v>1632647.83</v>
      </c>
      <c r="F395" s="196">
        <f>F299+F394</f>
        <v>216501.92</v>
      </c>
      <c r="G395" s="196">
        <f>SUM(G299+G394)</f>
        <v>67708.3</v>
      </c>
      <c r="H395" s="198">
        <f>H299+H394</f>
        <v>1922239.5899999999</v>
      </c>
      <c r="I395" s="196">
        <f>I299+I394</f>
        <v>48383.710000000006</v>
      </c>
      <c r="J395" s="196">
        <f>SUM(J299+J394)</f>
        <v>8162.8600000000006</v>
      </c>
      <c r="K395" s="196">
        <f>SUM(K299+K394)</f>
        <v>1980013.85</v>
      </c>
      <c r="L395" s="196">
        <f>SUM(L299+L394)</f>
        <v>61626.659999999996</v>
      </c>
      <c r="M395" s="199">
        <f>SUM(M299+M394)</f>
        <v>9020.4100000000035</v>
      </c>
      <c r="N395" s="193">
        <f t="shared" si="72"/>
        <v>2050660.92</v>
      </c>
    </row>
    <row r="396" spans="1:14" ht="14.25" customHeight="1" thickBot="1" x14ac:dyDescent="0.3">
      <c r="A396" s="200"/>
      <c r="B396" s="201"/>
      <c r="C396" s="202"/>
      <c r="D396" s="203"/>
      <c r="E396" s="202"/>
      <c r="F396" s="202"/>
      <c r="G396" s="202"/>
      <c r="H396" s="204"/>
      <c r="I396" s="202"/>
      <c r="J396" s="202"/>
      <c r="K396" s="205"/>
      <c r="L396" s="205"/>
      <c r="M396" s="205"/>
      <c r="N396" s="165"/>
    </row>
    <row r="397" spans="1:14" ht="30.75" customHeight="1" thickBot="1" x14ac:dyDescent="0.3">
      <c r="A397" s="49" t="s">
        <v>382</v>
      </c>
      <c r="B397" s="206"/>
      <c r="C397" s="51"/>
      <c r="D397" s="52"/>
      <c r="E397" s="51"/>
      <c r="F397" s="51"/>
      <c r="G397" s="51"/>
      <c r="H397" s="53"/>
      <c r="I397" s="51"/>
      <c r="J397" s="51"/>
      <c r="K397" s="51"/>
      <c r="L397" s="51"/>
      <c r="M397" s="51"/>
      <c r="N397" s="207"/>
    </row>
    <row r="398" spans="1:14" ht="16.5" customHeight="1" x14ac:dyDescent="0.25">
      <c r="A398" s="55" t="s">
        <v>383</v>
      </c>
      <c r="B398" s="138"/>
      <c r="C398" s="58">
        <v>9350</v>
      </c>
      <c r="D398" s="58">
        <v>0</v>
      </c>
      <c r="E398" s="58">
        <f>SUM(C398:D398)</f>
        <v>9350</v>
      </c>
      <c r="F398" s="58">
        <v>0</v>
      </c>
      <c r="G398" s="58">
        <v>0</v>
      </c>
      <c r="H398" s="58">
        <f>SUM(E398:G398)</f>
        <v>9350</v>
      </c>
      <c r="I398" s="58">
        <v>0</v>
      </c>
      <c r="J398" s="58">
        <v>0</v>
      </c>
      <c r="K398" s="58">
        <f t="shared" si="89"/>
        <v>9350</v>
      </c>
      <c r="L398" s="58">
        <v>0</v>
      </c>
      <c r="M398" s="58">
        <v>0</v>
      </c>
      <c r="N398" s="48">
        <f t="shared" si="72"/>
        <v>9350</v>
      </c>
    </row>
    <row r="399" spans="1:14" ht="30" customHeight="1" x14ac:dyDescent="0.25">
      <c r="A399" s="29" t="s">
        <v>384</v>
      </c>
      <c r="B399" s="116"/>
      <c r="C399" s="31">
        <v>0</v>
      </c>
      <c r="D399" s="31">
        <v>0</v>
      </c>
      <c r="E399" s="31">
        <f t="shared" ref="E399:E405" si="95">SUM(C399:D399)</f>
        <v>0</v>
      </c>
      <c r="F399" s="31">
        <v>0</v>
      </c>
      <c r="G399" s="31">
        <v>0</v>
      </c>
      <c r="H399" s="31">
        <f t="shared" ref="H399:H405" si="96">SUM(E399:G399)</f>
        <v>0</v>
      </c>
      <c r="I399" s="31">
        <v>0</v>
      </c>
      <c r="J399" s="31">
        <v>0</v>
      </c>
      <c r="K399" s="31">
        <f t="shared" si="89"/>
        <v>0</v>
      </c>
      <c r="L399" s="31">
        <v>0</v>
      </c>
      <c r="M399" s="31">
        <v>0</v>
      </c>
      <c r="N399" s="32">
        <f>SUM(K399:M399)</f>
        <v>0</v>
      </c>
    </row>
    <row r="400" spans="1:14" ht="29.25" customHeight="1" x14ac:dyDescent="0.25">
      <c r="A400" s="29" t="s">
        <v>385</v>
      </c>
      <c r="B400" s="116"/>
      <c r="C400" s="31">
        <v>0</v>
      </c>
      <c r="D400" s="31">
        <v>0</v>
      </c>
      <c r="E400" s="31">
        <f t="shared" si="95"/>
        <v>0</v>
      </c>
      <c r="F400" s="31">
        <v>0</v>
      </c>
      <c r="G400" s="31">
        <v>0</v>
      </c>
      <c r="H400" s="31">
        <f t="shared" si="96"/>
        <v>0</v>
      </c>
      <c r="I400" s="31">
        <v>0</v>
      </c>
      <c r="J400" s="31">
        <v>0</v>
      </c>
      <c r="K400" s="31">
        <f t="shared" si="89"/>
        <v>0</v>
      </c>
      <c r="L400" s="31">
        <v>0</v>
      </c>
      <c r="M400" s="31">
        <v>0</v>
      </c>
      <c r="N400" s="32">
        <f t="shared" si="72"/>
        <v>0</v>
      </c>
    </row>
    <row r="401" spans="1:14" ht="17.25" customHeight="1" x14ac:dyDescent="0.25">
      <c r="A401" s="29" t="s">
        <v>386</v>
      </c>
      <c r="B401" s="116"/>
      <c r="C401" s="31">
        <v>3200</v>
      </c>
      <c r="D401" s="31">
        <v>0</v>
      </c>
      <c r="E401" s="31">
        <f t="shared" si="95"/>
        <v>3200</v>
      </c>
      <c r="F401" s="31">
        <v>0</v>
      </c>
      <c r="G401" s="31">
        <v>0</v>
      </c>
      <c r="H401" s="31">
        <f t="shared" si="96"/>
        <v>3200</v>
      </c>
      <c r="I401" s="31">
        <v>0</v>
      </c>
      <c r="J401" s="31">
        <v>0</v>
      </c>
      <c r="K401" s="31">
        <f t="shared" si="89"/>
        <v>3200</v>
      </c>
      <c r="L401" s="31">
        <v>0</v>
      </c>
      <c r="M401" s="31">
        <v>0</v>
      </c>
      <c r="N401" s="32">
        <f t="shared" si="72"/>
        <v>3200</v>
      </c>
    </row>
    <row r="402" spans="1:14" ht="16.5" customHeight="1" x14ac:dyDescent="0.25">
      <c r="A402" s="29" t="s">
        <v>387</v>
      </c>
      <c r="B402" s="116"/>
      <c r="C402" s="31">
        <v>0</v>
      </c>
      <c r="D402" s="31">
        <v>0</v>
      </c>
      <c r="E402" s="31">
        <f t="shared" si="95"/>
        <v>0</v>
      </c>
      <c r="F402" s="31">
        <v>0</v>
      </c>
      <c r="G402" s="31">
        <v>0</v>
      </c>
      <c r="H402" s="31">
        <f t="shared" si="96"/>
        <v>0</v>
      </c>
      <c r="I402" s="31">
        <v>0</v>
      </c>
      <c r="J402" s="31">
        <v>0</v>
      </c>
      <c r="K402" s="31">
        <f t="shared" si="89"/>
        <v>0</v>
      </c>
      <c r="L402" s="31">
        <v>0</v>
      </c>
      <c r="M402" s="31">
        <v>0</v>
      </c>
      <c r="N402" s="32">
        <f t="shared" si="72"/>
        <v>0</v>
      </c>
    </row>
    <row r="403" spans="1:14" ht="16.5" customHeight="1" x14ac:dyDescent="0.25">
      <c r="A403" s="29" t="s">
        <v>388</v>
      </c>
      <c r="B403" s="116"/>
      <c r="C403" s="31">
        <v>0</v>
      </c>
      <c r="D403" s="31">
        <v>0</v>
      </c>
      <c r="E403" s="31">
        <f t="shared" si="95"/>
        <v>0</v>
      </c>
      <c r="F403" s="31">
        <v>0</v>
      </c>
      <c r="G403" s="31">
        <v>0</v>
      </c>
      <c r="H403" s="31">
        <f t="shared" si="96"/>
        <v>0</v>
      </c>
      <c r="I403" s="31">
        <v>0</v>
      </c>
      <c r="J403" s="31">
        <v>0</v>
      </c>
      <c r="K403" s="31">
        <f t="shared" si="89"/>
        <v>0</v>
      </c>
      <c r="L403" s="31">
        <v>0</v>
      </c>
      <c r="M403" s="31">
        <v>0</v>
      </c>
      <c r="N403" s="32">
        <f t="shared" si="72"/>
        <v>0</v>
      </c>
    </row>
    <row r="404" spans="1:14" ht="15" customHeight="1" x14ac:dyDescent="0.25">
      <c r="A404" s="29" t="s">
        <v>389</v>
      </c>
      <c r="B404" s="116"/>
      <c r="C404" s="31">
        <v>600000</v>
      </c>
      <c r="D404" s="31">
        <v>0</v>
      </c>
      <c r="E404" s="31">
        <f t="shared" si="95"/>
        <v>600000</v>
      </c>
      <c r="F404" s="31">
        <v>0</v>
      </c>
      <c r="G404" s="31">
        <v>0</v>
      </c>
      <c r="H404" s="31">
        <f t="shared" si="96"/>
        <v>600000</v>
      </c>
      <c r="I404" s="31">
        <v>-600000</v>
      </c>
      <c r="J404" s="31">
        <v>0</v>
      </c>
      <c r="K404" s="31">
        <f>SUM(H404:J404)</f>
        <v>0</v>
      </c>
      <c r="L404" s="31">
        <v>0</v>
      </c>
      <c r="M404" s="31">
        <v>0</v>
      </c>
      <c r="N404" s="32">
        <f t="shared" si="72"/>
        <v>0</v>
      </c>
    </row>
    <row r="405" spans="1:14" ht="17.25" customHeight="1" x14ac:dyDescent="0.25">
      <c r="A405" s="29" t="s">
        <v>390</v>
      </c>
      <c r="B405" s="116"/>
      <c r="C405" s="31">
        <v>38776</v>
      </c>
      <c r="D405" s="31">
        <v>0</v>
      </c>
      <c r="E405" s="31">
        <f t="shared" si="95"/>
        <v>38776</v>
      </c>
      <c r="F405" s="31">
        <v>0</v>
      </c>
      <c r="G405" s="31">
        <v>0</v>
      </c>
      <c r="H405" s="31">
        <f t="shared" si="96"/>
        <v>38776</v>
      </c>
      <c r="I405" s="31">
        <v>0</v>
      </c>
      <c r="J405" s="31">
        <v>0</v>
      </c>
      <c r="K405" s="31">
        <f t="shared" si="89"/>
        <v>38776</v>
      </c>
      <c r="L405" s="31">
        <v>0</v>
      </c>
      <c r="M405" s="31">
        <v>0</v>
      </c>
      <c r="N405" s="61">
        <f t="shared" si="72"/>
        <v>38776</v>
      </c>
    </row>
    <row r="406" spans="1:14" ht="31.5" customHeight="1" thickBot="1" x14ac:dyDescent="0.3">
      <c r="A406" s="215" t="s">
        <v>391</v>
      </c>
      <c r="B406" s="233"/>
      <c r="C406" s="234">
        <f>SUM(C398:C405)</f>
        <v>651326</v>
      </c>
      <c r="D406" s="235">
        <f>SUM(D398:D405)</f>
        <v>0</v>
      </c>
      <c r="E406" s="234">
        <f>SUM(C406:D406)</f>
        <v>651326</v>
      </c>
      <c r="F406" s="234">
        <f t="shared" ref="F406:L406" si="97">SUM(F398:F405)</f>
        <v>0</v>
      </c>
      <c r="G406" s="234">
        <f t="shared" si="97"/>
        <v>0</v>
      </c>
      <c r="H406" s="236">
        <f t="shared" si="97"/>
        <v>651326</v>
      </c>
      <c r="I406" s="234">
        <f t="shared" si="97"/>
        <v>-600000</v>
      </c>
      <c r="J406" s="234">
        <f t="shared" si="97"/>
        <v>0</v>
      </c>
      <c r="K406" s="234">
        <f>SUM(K398:K405)</f>
        <v>51326</v>
      </c>
      <c r="L406" s="234">
        <f t="shared" si="97"/>
        <v>0</v>
      </c>
      <c r="M406" s="234">
        <f>SUM(M398:M405)</f>
        <v>0</v>
      </c>
      <c r="N406" s="237">
        <f t="shared" si="72"/>
        <v>51326</v>
      </c>
    </row>
    <row r="407" spans="1:14" ht="19.5" customHeight="1" thickBot="1" x14ac:dyDescent="0.3">
      <c r="A407" s="72" t="s">
        <v>392</v>
      </c>
      <c r="B407" s="209"/>
      <c r="C407" s="77">
        <f>C395+C406</f>
        <v>2274504.85</v>
      </c>
      <c r="D407" s="78">
        <f>D395+D406</f>
        <v>9468.98</v>
      </c>
      <c r="E407" s="77">
        <f>SUM(C407:D407)</f>
        <v>2283973.83</v>
      </c>
      <c r="F407" s="77">
        <f>F395+F406</f>
        <v>216501.92</v>
      </c>
      <c r="G407" s="77">
        <f>SUM(G395+G406)</f>
        <v>67708.3</v>
      </c>
      <c r="H407" s="210">
        <f>H395+H406</f>
        <v>2573565.59</v>
      </c>
      <c r="I407" s="77">
        <f>I395+I406</f>
        <v>-551616.29</v>
      </c>
      <c r="J407" s="77">
        <f>SUM(J395+J406)</f>
        <v>8162.8600000000006</v>
      </c>
      <c r="K407" s="77">
        <f>SUM(K395+K406)</f>
        <v>2031339.85</v>
      </c>
      <c r="L407" s="77">
        <f>SUM(L395+L406)</f>
        <v>61626.659999999996</v>
      </c>
      <c r="M407" s="211">
        <f>SUM(M395+M406)</f>
        <v>9020.4100000000035</v>
      </c>
      <c r="N407" s="79">
        <f t="shared" ref="N407:N411" si="98">SUM(K407:M407)</f>
        <v>2101986.92</v>
      </c>
    </row>
    <row r="408" spans="1:14" ht="13.5" customHeight="1" thickBot="1" x14ac:dyDescent="0.3">
      <c r="A408" s="212"/>
      <c r="B408" s="213"/>
      <c r="C408" s="214"/>
      <c r="D408" s="214"/>
      <c r="E408" s="214"/>
      <c r="F408" s="214"/>
      <c r="G408" s="214"/>
      <c r="H408" s="214"/>
      <c r="I408" s="214"/>
      <c r="J408" s="214"/>
      <c r="K408" s="58"/>
      <c r="L408" s="58"/>
      <c r="M408" s="58"/>
      <c r="N408" s="48"/>
    </row>
    <row r="409" spans="1:14" ht="30.75" thickBot="1" x14ac:dyDescent="0.3">
      <c r="A409" s="215" t="s">
        <v>393</v>
      </c>
      <c r="B409" s="216"/>
      <c r="C409" s="217"/>
      <c r="D409" s="218"/>
      <c r="E409" s="217"/>
      <c r="F409" s="217"/>
      <c r="G409" s="217"/>
      <c r="H409" s="219"/>
      <c r="I409" s="217"/>
      <c r="J409" s="217"/>
      <c r="K409" s="217"/>
      <c r="L409" s="217"/>
      <c r="M409" s="217"/>
      <c r="N409" s="54"/>
    </row>
    <row r="410" spans="1:14" ht="20.25" customHeight="1" thickBot="1" x14ac:dyDescent="0.3">
      <c r="A410" s="220" t="s">
        <v>394</v>
      </c>
      <c r="B410" s="221"/>
      <c r="C410" s="222" t="s">
        <v>395</v>
      </c>
      <c r="D410" s="223">
        <v>0</v>
      </c>
      <c r="E410" s="222">
        <f>SUM(C410:D410)</f>
        <v>0</v>
      </c>
      <c r="F410" s="222">
        <v>0</v>
      </c>
      <c r="G410" s="222">
        <v>0</v>
      </c>
      <c r="H410" s="224" t="s">
        <v>395</v>
      </c>
      <c r="I410" s="205">
        <v>0</v>
      </c>
      <c r="J410" s="205">
        <v>0</v>
      </c>
      <c r="K410" s="205">
        <f>SUM(H410:J410)</f>
        <v>0</v>
      </c>
      <c r="L410" s="205">
        <v>0</v>
      </c>
      <c r="M410" s="205">
        <v>0</v>
      </c>
      <c r="N410" s="165">
        <f t="shared" si="98"/>
        <v>0</v>
      </c>
    </row>
    <row r="411" spans="1:14" ht="30.75" thickBot="1" x14ac:dyDescent="0.3">
      <c r="A411" s="49" t="s">
        <v>396</v>
      </c>
      <c r="B411" s="208"/>
      <c r="C411" s="225">
        <f>SUM(C410)</f>
        <v>0</v>
      </c>
      <c r="D411" s="226">
        <f t="shared" ref="D411:H411" si="99">SUM(D410)</f>
        <v>0</v>
      </c>
      <c r="E411" s="225">
        <f t="shared" si="99"/>
        <v>0</v>
      </c>
      <c r="F411" s="225">
        <f t="shared" si="99"/>
        <v>0</v>
      </c>
      <c r="G411" s="225">
        <f t="shared" si="99"/>
        <v>0</v>
      </c>
      <c r="H411" s="225">
        <f t="shared" si="99"/>
        <v>0</v>
      </c>
      <c r="I411" s="225">
        <f>SUM(I410)</f>
        <v>0</v>
      </c>
      <c r="J411" s="225">
        <f>SUM(J410)</f>
        <v>0</v>
      </c>
      <c r="K411" s="225">
        <f>SUM(H411:J411)</f>
        <v>0</v>
      </c>
      <c r="L411" s="225">
        <v>0</v>
      </c>
      <c r="M411" s="225">
        <v>0</v>
      </c>
      <c r="N411" s="227">
        <f t="shared" si="98"/>
        <v>0</v>
      </c>
    </row>
    <row r="412" spans="1:14" x14ac:dyDescent="0.25">
      <c r="D412" s="229"/>
      <c r="E412" s="230"/>
    </row>
  </sheetData>
  <sheetProtection algorithmName="SHA-512" hashValue="yEGaDzmzOE2JG9sF0UyyPyP7xKugOky34XrYDWQ77v82IhVddGcITtnU1/2iu2nHyg5M8/RPcxN6Ngn+Rkjs1w==" saltValue="E/H/B5ZM8nk34+qDoAGrNg==" spinCount="100000" sheet="1" objects="1" scenarios="1"/>
  <pageMargins left="0.6692913385826772" right="0.6692913385826772" top="0.9055118110236221" bottom="0.78740157480314965" header="0.31496062992125984" footer="0.31496062992125984"/>
  <pageSetup paperSize="9" orientation="landscape" r:id="rId1"/>
  <headerFooter>
    <oddHeader xml:space="preserve">&amp;L&amp;"-,Tučné"Statutární město
Frýdek-Místek&amp;C&amp;"-,Tučné" Závazné ukazatele rozpočtu roku 2022 po 3. změně a po RO RM č. 1 - 147 
&amp;"-,Obyčejné"Zpracovala: Ing. Pavla Homolková, Finanční odbor
&amp;RStrana &amp;P
celkem 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ZU po 3. změně a RO RM 1-147</vt:lpstr>
      <vt:lpstr>'ZU po 3. změně a RO RM 1-147'!Názvy_tisku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OBORNÁ</dc:creator>
  <cp:lastModifiedBy>Ilona OBORNÁ</cp:lastModifiedBy>
  <cp:lastPrinted>2022-11-18T09:28:41Z</cp:lastPrinted>
  <dcterms:created xsi:type="dcterms:W3CDTF">2022-11-18T08:31:28Z</dcterms:created>
  <dcterms:modified xsi:type="dcterms:W3CDTF">2022-11-18T09:29:19Z</dcterms:modified>
</cp:coreProperties>
</file>